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25" windowHeight="13080" activeTab="0"/>
  </bookViews>
  <sheets>
    <sheet name="Classifica dal 0109" sheetId="1" r:id="rId1"/>
    <sheet name="Classifica fino al 2508" sheetId="2" r:id="rId2"/>
    <sheet name="Media al Km" sheetId="3" r:id="rId3"/>
    <sheet name="Performance" sheetId="4" r:id="rId4"/>
    <sheet name="Note" sheetId="5" r:id="rId5"/>
    <sheet name="Foglio1" sheetId="6" r:id="rId6"/>
  </sheets>
  <definedNames>
    <definedName name="_xlnm.Print_Area" localSheetId="0">'Classifica dal 0109'!$A$1:$AF$60</definedName>
    <definedName name="_xlnm.Print_Area" localSheetId="1">'Classifica fino al 2508'!$A$1:$BA$57</definedName>
    <definedName name="_xlnm.Print_Area" localSheetId="3">'Performance'!$A$1:$H$124</definedName>
  </definedNames>
  <calcPr fullCalcOnLoad="1"/>
</workbook>
</file>

<file path=xl/comments1.xml><?xml version="1.0" encoding="utf-8"?>
<comments xmlns="http://schemas.openxmlformats.org/spreadsheetml/2006/main">
  <authors>
    <author>Alb_2009</author>
  </authors>
  <commentList>
    <comment ref="O23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NK di San Benedetto 8
Km da rotonda a rotonda</t>
        </r>
      </text>
    </comment>
    <comment ref="O2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NK di San Benedetto 8
Km da rotonda a rotonda</t>
        </r>
      </text>
    </comment>
    <comment ref="X12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4,35 al Km su 14 Km</t>
        </r>
      </text>
    </comment>
  </commentList>
</comments>
</file>

<file path=xl/comments2.xml><?xml version="1.0" encoding="utf-8"?>
<comments xmlns="http://schemas.openxmlformats.org/spreadsheetml/2006/main">
  <authors>
    <author>Alb_2009</author>
  </authors>
  <commentList>
    <comment ref="S16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4,49 al Km;  tempo 3,23,31
</t>
        </r>
      </text>
    </comment>
    <comment ref="V16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Passo Maraton Crocifisso Sabato e Montecosaro Domenica
</t>
        </r>
      </text>
    </comment>
    <comment ref="V1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Media 4,29 alla Maratonina Serpente Aureo Offida</t>
        </r>
      </text>
    </comment>
    <comment ref="W20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entrambe le gare fatte</t>
        </r>
      </text>
    </comment>
    <comment ref="AA2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Strarimini 21K in 1 50 e 42s
</t>
        </r>
      </text>
    </comment>
    <comment ref="AA28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No Komp Marcil. del Piceno 10K
</t>
        </r>
      </text>
    </comment>
    <comment ref="AD12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2h24m 19s media 6,50 ma corsa in salita
</t>
        </r>
      </text>
    </comment>
    <comment ref="AL12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ParksTrail da rifugio a rifugio Forca di Presta, Gara in salita</t>
        </r>
      </text>
    </comment>
    <comment ref="AL1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Marcialonga Potentina 11K non Komp
</t>
        </r>
      </text>
    </comment>
    <comment ref="AL15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Marcialonga Potentina 11K non Komp
</t>
        </r>
      </text>
    </comment>
    <comment ref="AL14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Visso+Marcilonga Potentina
</t>
        </r>
      </text>
    </comment>
    <comment ref="AL21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Visso
</t>
        </r>
      </text>
    </comment>
    <comment ref="AL29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Marcialonga Potentina 11K non Komp
</t>
        </r>
      </text>
    </comment>
    <comment ref="AL28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Marcialonga Potentina 11K non Komp
</t>
        </r>
      </text>
    </comment>
    <comment ref="AL38" authorId="0">
      <text>
        <r>
          <rPr>
            <b/>
            <sz val="8"/>
            <rFont val="Tahoma"/>
            <family val="2"/>
          </rPr>
          <t>Alb_2009:</t>
        </r>
        <r>
          <rPr>
            <sz val="8"/>
            <rFont val="Tahoma"/>
            <family val="2"/>
          </rPr>
          <t xml:space="preserve">
Marcialonga Potentina 11K non Komp
</t>
        </r>
      </text>
    </comment>
    <comment ref="AP11" authorId="0">
      <text>
        <r>
          <rPr>
            <b/>
            <sz val="8"/>
            <rFont val="Tahoma"/>
            <family val="0"/>
          </rPr>
          <t>Alb_2009:</t>
        </r>
        <r>
          <rPr>
            <sz val="8"/>
            <rFont val="Tahoma"/>
            <family val="0"/>
          </rPr>
          <t xml:space="preserve">
Iscritto a non competitiva</t>
        </r>
      </text>
    </comment>
  </commentList>
</comments>
</file>

<file path=xl/sharedStrings.xml><?xml version="1.0" encoding="utf-8"?>
<sst xmlns="http://schemas.openxmlformats.org/spreadsheetml/2006/main" count="513" uniqueCount="241">
  <si>
    <t xml:space="preserve">N.B. </t>
  </si>
  <si>
    <t>Pos.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</si>
  <si>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</si>
  <si>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</si>
  <si>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</si>
  <si>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</si>
  <si>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</si>
  <si>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</si>
  <si>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</si>
  <si>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</si>
  <si>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</si>
  <si>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</si>
  <si>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</si>
  <si>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</si>
  <si>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</si>
  <si>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</si>
  <si>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</si>
  <si>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</si>
  <si>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</si>
  <si>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</si>
  <si>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</si>
  <si>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</si>
  <si>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</si>
  <si>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</si>
  <si>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</si>
  <si>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</si>
  <si>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</si>
  <si>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GARA 1</t>
  </si>
  <si>
    <t>GARA 2</t>
  </si>
  <si>
    <t>ATLETA</t>
  </si>
  <si>
    <t>MEDIA AL KM     -     KM ORARI</t>
  </si>
  <si>
    <t>Risultato Cronometrico ottenuto</t>
  </si>
  <si>
    <t>=</t>
  </si>
  <si>
    <t>Calcolo del ritmo</t>
  </si>
  <si>
    <t>Inserire la distanza</t>
  </si>
  <si>
    <t>Inserire il tempo conseguito</t>
  </si>
  <si>
    <t>Andatura al Km   e   Km/h</t>
  </si>
  <si>
    <t>Kilometri</t>
  </si>
  <si>
    <t>h</t>
  </si>
  <si>
    <t>min</t>
  </si>
  <si>
    <t>sec</t>
  </si>
  <si>
    <t>Km/h</t>
  </si>
  <si>
    <t>TOTALE PUNTI</t>
  </si>
  <si>
    <t>I dati faranno riferimento a classifiche ufficiali pubblicate ( Internet stampe organizzatori etc...)</t>
  </si>
  <si>
    <t>A parità di punti varranno per la classifica in ordine: Categoria di età di appartenenza, Tempi …………..</t>
  </si>
  <si>
    <t>considerato al 50% , senza alcun riferimento a tempi ed a relativi Bonus</t>
  </si>
  <si>
    <t xml:space="preserve">tempo effettivo </t>
  </si>
  <si>
    <t>tempo effettivo  -1,5min. /10Km</t>
  </si>
  <si>
    <t>tempo effettivo + 1,5min./10Km</t>
  </si>
  <si>
    <r>
      <rPr>
        <b/>
        <sz val="10"/>
        <rFont val="Arial"/>
        <family val="2"/>
      </rPr>
      <t>Nota</t>
    </r>
    <r>
      <rPr>
        <sz val="10"/>
        <rFont val="Arial"/>
        <family val="0"/>
      </rPr>
      <t>: per la partecipazione a manifestazioni non competitive il punteggio verrà assegnato in base alla distanza ufficiale della manif.</t>
    </r>
  </si>
  <si>
    <t>Valevole ai fini della determinazione del PASSO MEDIO  di Gara da cui i relativi Coefficienti di performance</t>
  </si>
  <si>
    <t>Var. ETA'</t>
  </si>
  <si>
    <t>tempo effettivo +  3  min./10Km</t>
  </si>
  <si>
    <t>tempo effettivo   -3  min. /10Km</t>
  </si>
  <si>
    <t>A) 0-30</t>
  </si>
  <si>
    <t>B) 30-40</t>
  </si>
  <si>
    <t>C) 40-50</t>
  </si>
  <si>
    <t>D) 50-60</t>
  </si>
  <si>
    <t>E) Oltre 60</t>
  </si>
  <si>
    <t>C) Macchiati Mauro</t>
  </si>
  <si>
    <t>C) Rita Alberto</t>
  </si>
  <si>
    <t>D) Scheggia Mario</t>
  </si>
  <si>
    <t>D) Berini Alessandro</t>
  </si>
  <si>
    <t>C) Vico Amina</t>
  </si>
  <si>
    <t>C) Locci Felice</t>
  </si>
  <si>
    <t>C) Tiburzi Lanfranco</t>
  </si>
  <si>
    <t>D) Berini Costantino</t>
  </si>
  <si>
    <t>C) Mochi Lauro</t>
  </si>
  <si>
    <t>D) Ilari Giuliano</t>
  </si>
  <si>
    <t>D) Corsetti G.</t>
  </si>
  <si>
    <t>D) Bistosini Ferruccio</t>
  </si>
  <si>
    <t>C) Vico Alberto</t>
  </si>
  <si>
    <t>D) Principi Valerio</t>
  </si>
  <si>
    <t>GARA 5</t>
  </si>
  <si>
    <t>GARA 6</t>
  </si>
  <si>
    <t>B) Vedovaldi Andrea</t>
  </si>
  <si>
    <t>C) Martinelli Marco</t>
  </si>
  <si>
    <t>D) Vico  Stefano</t>
  </si>
  <si>
    <t>C) Animento Andrea</t>
  </si>
  <si>
    <t>Vel. Min/KM</t>
  </si>
  <si>
    <t>Coeff. Prestaz.</t>
  </si>
  <si>
    <t>San Firmano 12/03  No Komp</t>
  </si>
  <si>
    <t>Punti</t>
  </si>
  <si>
    <t xml:space="preserve"> v.media</t>
  </si>
  <si>
    <t>incrementati in base coefficienti di performance secondo lo schema "Performance" Allegato</t>
  </si>
  <si>
    <t xml:space="preserve">CENTOBUCHI 20/02     </t>
  </si>
  <si>
    <t>Villa SFilippo 27/02  No Komp</t>
  </si>
  <si>
    <t xml:space="preserve">ANCONA CROSS FIDAL 30/01     </t>
  </si>
  <si>
    <t xml:space="preserve">La Classifica è definita in base ai chilometri  Ufficiali percorsi in gara  da Atleti RUNNERS </t>
  </si>
  <si>
    <t>n.c.</t>
  </si>
  <si>
    <t>E) Perfetti Belgramo</t>
  </si>
  <si>
    <t>N.B. i valori velocità andrebbero decurtati di circa 20sec/km per gara + lunga  di circa  850m</t>
  </si>
  <si>
    <t>n.c</t>
  </si>
  <si>
    <t>TRODICA 15^ Val Chienti 20/03               nota1)</t>
  </si>
  <si>
    <t>Nota1)</t>
  </si>
  <si>
    <t>Corri Corridonia 27/03  No Komp  nota2)</t>
  </si>
  <si>
    <t>Nota2)</t>
  </si>
  <si>
    <t>N.B. assegnati puntieggi anche al personale in servizio impossibilitatoa a gareggiare</t>
  </si>
  <si>
    <t>Lungh. Uff. Gara Km</t>
  </si>
  <si>
    <t>26°</t>
  </si>
  <si>
    <t>27°</t>
  </si>
  <si>
    <t>28°</t>
  </si>
  <si>
    <t>29°</t>
  </si>
  <si>
    <t>30°</t>
  </si>
  <si>
    <t>D) Parigiani Luigi</t>
  </si>
  <si>
    <t>E) Matricardi  Pietro</t>
  </si>
  <si>
    <t>MARATH.   di    ROMA  20/03</t>
  </si>
  <si>
    <t xml:space="preserve">STRA        CIVITANOVA 13/03     </t>
  </si>
  <si>
    <t>4 o 6</t>
  </si>
  <si>
    <t>Collevario MC    3/04       NO Komp</t>
  </si>
  <si>
    <t xml:space="preserve">CONERO Running 10/04 </t>
  </si>
  <si>
    <t>MASCHI 0-21,1 K</t>
  </si>
  <si>
    <t>FEMMINE 0-21,1K</t>
  </si>
  <si>
    <t xml:space="preserve">&gt;21,1K MARAT. D </t>
  </si>
  <si>
    <t xml:space="preserve">&gt;21,1K MARAT. U </t>
  </si>
  <si>
    <t>Versione 1,6</t>
  </si>
  <si>
    <t>Gara11</t>
  </si>
  <si>
    <t>London Marath.   17/04</t>
  </si>
  <si>
    <t>B) Bonfigli Andrea</t>
  </si>
  <si>
    <t>B) Minnucci Luigi</t>
  </si>
  <si>
    <t xml:space="preserve">P.POT PICENA  LIBERAZIONE   25/04           </t>
  </si>
  <si>
    <t>GARA3</t>
  </si>
  <si>
    <t>GARA4</t>
  </si>
  <si>
    <t>GARA7</t>
  </si>
  <si>
    <t>GARA8</t>
  </si>
  <si>
    <t>GARA9</t>
  </si>
  <si>
    <t>GARA12</t>
  </si>
  <si>
    <t>GARA10</t>
  </si>
  <si>
    <t>C) Pistolesi Giuliano</t>
  </si>
  <si>
    <t>E) Maurizi Benito</t>
  </si>
  <si>
    <t>GARE13</t>
  </si>
  <si>
    <t>Serpente/Crox Treia /Montecosaro 01/05</t>
  </si>
  <si>
    <t>GARE14</t>
  </si>
  <si>
    <t>10 NK</t>
  </si>
  <si>
    <t>15 NK</t>
  </si>
  <si>
    <t>14 NK</t>
  </si>
  <si>
    <t>12 NK</t>
  </si>
  <si>
    <t>10NK</t>
  </si>
  <si>
    <t>GARA 15</t>
  </si>
  <si>
    <t>BARCHI Colle Marathon</t>
  </si>
  <si>
    <t>S. Claudio   Corri salute fermo     07/05</t>
  </si>
  <si>
    <t>GARE 16</t>
  </si>
  <si>
    <t>MAR.PICENO + MARCIAL. + StraRimini</t>
  </si>
  <si>
    <t>42,2 vs 10 vs 21,1</t>
  </si>
  <si>
    <t>E) Astolfi Mario</t>
  </si>
  <si>
    <t>AVIS  Bald. CASTELFIDARDO</t>
  </si>
  <si>
    <t>C) Astolfi Patrizio</t>
  </si>
  <si>
    <t>EcoTrail Colle S Marco 29/05</t>
  </si>
  <si>
    <t>Gara 17</t>
  </si>
  <si>
    <t>Gara 18</t>
  </si>
  <si>
    <t>Gara 19</t>
  </si>
  <si>
    <t>v.media</t>
  </si>
  <si>
    <t>STRA Macerata 02/06****</t>
  </si>
  <si>
    <t>E) Salciccia Vincenzo</t>
  </si>
  <si>
    <t>****</t>
  </si>
  <si>
    <t>****N.B. Velocità iph da verificare e confermare</t>
  </si>
  <si>
    <t>Gara 20</t>
  </si>
  <si>
    <t>Stracassero Castelraim. 05/06</t>
  </si>
  <si>
    <t>Avis Spinetoli Pagliare 12/06/2010</t>
  </si>
  <si>
    <t>Gara 21</t>
  </si>
  <si>
    <t>Gara 22</t>
  </si>
  <si>
    <t>Gara23</t>
  </si>
  <si>
    <t>Marcialonga Colli Moglianesi</t>
  </si>
  <si>
    <t>Gara 24</t>
  </si>
  <si>
    <t>Marcialonga Solidarietà e No Komp 100KMarchigiana</t>
  </si>
  <si>
    <t>nokomp</t>
  </si>
  <si>
    <t>Gara 25</t>
  </si>
  <si>
    <r>
      <rPr>
        <b/>
        <sz val="10"/>
        <rFont val="Arial"/>
        <family val="2"/>
      </rPr>
      <t>Marc. Solleon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MntGiorg.</t>
    </r>
    <r>
      <rPr>
        <b/>
        <sz val="8"/>
        <rFont val="Arial"/>
        <family val="2"/>
      </rPr>
      <t xml:space="preserve">   3Luglio</t>
    </r>
  </si>
  <si>
    <t>FirSGiovanni-MasterPista MC-Visso etc  19Giugno</t>
  </si>
  <si>
    <r>
      <rPr>
        <b/>
        <sz val="9"/>
        <color indexed="57"/>
        <rFont val="Arial"/>
        <family val="2"/>
      </rPr>
      <t>17 Luglio</t>
    </r>
    <r>
      <rPr>
        <b/>
        <sz val="8"/>
        <color indexed="57"/>
        <rFont val="Arial"/>
        <family val="2"/>
      </rPr>
      <t xml:space="preserve"> Montelup. NK Corri con.10K</t>
    </r>
  </si>
  <si>
    <t>Gara 27</t>
  </si>
  <si>
    <t>Gara 26</t>
  </si>
  <si>
    <r>
      <rPr>
        <b/>
        <sz val="10"/>
        <rFont val="Arial"/>
        <family val="2"/>
      </rPr>
      <t xml:space="preserve">Cingoli </t>
    </r>
    <r>
      <rPr>
        <b/>
        <sz val="8"/>
        <rFont val="Arial"/>
        <family val="2"/>
      </rPr>
      <t xml:space="preserve">  Millepiedi    24Luglio</t>
    </r>
  </si>
  <si>
    <t>11,2-5,7</t>
  </si>
  <si>
    <t>Gara 28</t>
  </si>
  <si>
    <t>Gara 29</t>
  </si>
  <si>
    <t xml:space="preserve"> 07/08/2011</t>
  </si>
  <si>
    <t>Podistica Città di SARNANO               31 Luglio</t>
  </si>
  <si>
    <t>C) Cintioli Gianluca</t>
  </si>
  <si>
    <t>Mar. 4PONTI   Fiuminata              07 AGOSTO</t>
  </si>
  <si>
    <t>Loreto - Frasassi  Dom 04/09</t>
  </si>
  <si>
    <t>12 - 15</t>
  </si>
  <si>
    <t>No Komp</t>
  </si>
  <si>
    <t>GARA 31</t>
  </si>
  <si>
    <t>GARE 30</t>
  </si>
  <si>
    <t>9,3-9-9,6</t>
  </si>
  <si>
    <t>GARA 32</t>
  </si>
  <si>
    <t>STRALUMACA - Casenove di FOLIGNO 26-08</t>
  </si>
  <si>
    <t>Marcialonga lorese - Macereto - Pioraco - Bruschetta</t>
  </si>
  <si>
    <t xml:space="preserve"> NKomp</t>
  </si>
  <si>
    <t>P.ti al 25/08</t>
  </si>
  <si>
    <t>GARA 33</t>
  </si>
  <si>
    <t>OSIMO                Trofeo 5 Torri             11/09</t>
  </si>
  <si>
    <t>10</t>
  </si>
  <si>
    <t>No komp</t>
  </si>
  <si>
    <t>Gara  34</t>
  </si>
  <si>
    <t>PORTO RECANATI   Maratonina  18/09</t>
  </si>
  <si>
    <t>NK</t>
  </si>
  <si>
    <t>Gara 35</t>
  </si>
  <si>
    <t>33,25 e 11,9</t>
  </si>
  <si>
    <t>Ascoli San Benedetto 25/09  e Corri UrbsSalviaNK</t>
  </si>
  <si>
    <t xml:space="preserve">C) Verdini Stefano </t>
  </si>
  <si>
    <t>31°</t>
  </si>
  <si>
    <t>C) Del Brutto Roberto</t>
  </si>
  <si>
    <t>Monte granaro 02/10 NK</t>
  </si>
  <si>
    <t>Gara36</t>
  </si>
  <si>
    <t>Gara37</t>
  </si>
  <si>
    <t>21,1 - 42,2 - 12NK</t>
  </si>
  <si>
    <t>1/2Marat Jesi         LakeGardaMarat       S.ElpidioNK          09 - 10</t>
  </si>
  <si>
    <t>Gara38</t>
  </si>
  <si>
    <t>1/2Marat Triangolo         PescaraMarat              16 - 10</t>
  </si>
  <si>
    <t>21,1 - 42,2 - 10NK</t>
  </si>
  <si>
    <t>14K - 42,2K</t>
  </si>
  <si>
    <t>Gara 39</t>
  </si>
  <si>
    <t>Venice Marathon       Filottrano           23-Ott.</t>
  </si>
  <si>
    <t>23K</t>
  </si>
  <si>
    <t>Gara 40</t>
  </si>
  <si>
    <t>Conero TRIAL Running 30 Ott.</t>
  </si>
  <si>
    <t>Gara 41</t>
  </si>
  <si>
    <t>14K</t>
  </si>
  <si>
    <t>Marc.lga TENNIS FOLIGNO 06/Nov.</t>
  </si>
  <si>
    <t>Gara 42</t>
  </si>
  <si>
    <t>42,2K-15K</t>
  </si>
  <si>
    <t xml:space="preserve">Torino Maratona         Controguerra-SMartino            13/11            </t>
  </si>
  <si>
    <t>Gara 43</t>
  </si>
  <si>
    <t>FIRENZE MARATHON      NKPortoS.Elpidio   27/11</t>
  </si>
  <si>
    <t>42,2K 9,6K</t>
  </si>
  <si>
    <t>Gara44</t>
  </si>
  <si>
    <t>10-21,1K</t>
  </si>
  <si>
    <t>Colmurano   04/12    NK</t>
  </si>
  <si>
    <t>A Pranzo</t>
  </si>
  <si>
    <t>NO</t>
  </si>
  <si>
    <t>Penso di si</t>
  </si>
  <si>
    <t>????</t>
  </si>
  <si>
    <t>1+1</t>
  </si>
  <si>
    <t>Alessia????</t>
  </si>
  <si>
    <t>1+ figlio</t>
  </si>
  <si>
    <t>MASTERunners - SACEN  CORRIDONIA - MASTERunners</t>
  </si>
  <si>
    <t>Classifica  2011</t>
  </si>
  <si>
    <t>Finale</t>
  </si>
  <si>
    <t>MRunners - SACEN  CORRIDONIA - MRunners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</si>
</sst>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_-* #,##0.000_-;\-* #,##0.000_-;_-* &quot;-&quot;??_-;_-@_-"/>
    <numFmt numFmtId="168" formatCode="[$-410]dddd\ d\ mmmm\ yyyy"/>
    <numFmt numFmtId="169" formatCode="h\.mm\.ss"/>
    <numFmt numFmtId="170" formatCode="0.00000"/>
    <numFmt numFmtId="171" formatCode="0.000000"/>
  </numFmts>
  <fonts count="59">
    <font>
      <sz val="10"/>
      <name val="Arial"/>
      <family val="0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Rounded MT Bold"/>
      <family val="2"/>
    </font>
    <font>
      <sz val="16"/>
      <name val="Arial Rounded MT Bold"/>
      <family val="2"/>
    </font>
    <font>
      <sz val="10"/>
      <color indexed="53"/>
      <name val="Arial Rounded MT Bold"/>
      <family val="2"/>
    </font>
    <font>
      <sz val="10"/>
      <color indexed="18"/>
      <name val="Arial Rounded MT Bold"/>
      <family val="2"/>
    </font>
    <font>
      <sz val="10"/>
      <color indexed="12"/>
      <name val="Arial Rounded MT Bold"/>
      <family val="2"/>
    </font>
    <font>
      <sz val="10"/>
      <color indexed="48"/>
      <name val="Arial Rounded MT Bold"/>
      <family val="2"/>
    </font>
    <font>
      <sz val="14"/>
      <name val="DomBold BT"/>
      <family val="4"/>
    </font>
    <font>
      <sz val="10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Calisto MT"/>
      <family val="1"/>
    </font>
    <font>
      <sz val="10"/>
      <name val="Agency FB"/>
      <family val="2"/>
    </font>
    <font>
      <b/>
      <sz val="10"/>
      <name val="Agency FB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1"/>
      <color indexed="60"/>
      <name val="Calibri"/>
      <family val="2"/>
    </font>
    <font>
      <i/>
      <sz val="10"/>
      <color indexed="10"/>
      <name val="Arial"/>
      <family val="2"/>
    </font>
    <font>
      <b/>
      <sz val="9"/>
      <color indexed="63"/>
      <name val="Arial"/>
      <family val="2"/>
    </font>
    <font>
      <b/>
      <sz val="11"/>
      <color indexed="20"/>
      <name val="Calibri"/>
      <family val="2"/>
    </font>
    <font>
      <b/>
      <sz val="11"/>
      <color indexed="17"/>
      <name val="Calibri"/>
      <family val="2"/>
    </font>
    <font>
      <i/>
      <sz val="16"/>
      <color indexed="10"/>
      <name val="Arial Black"/>
      <family val="2"/>
    </font>
    <font>
      <sz val="12"/>
      <color indexed="51"/>
      <name val="Arial"/>
      <family val="2"/>
    </font>
    <font>
      <b/>
      <sz val="10"/>
      <color indexed="51"/>
      <name val="Arial"/>
      <family val="2"/>
    </font>
    <font>
      <sz val="12"/>
      <color indexed="22"/>
      <name val="Arial"/>
      <family val="2"/>
    </font>
    <font>
      <b/>
      <sz val="10"/>
      <color indexed="22"/>
      <name val="Arial"/>
      <family val="2"/>
    </font>
    <font>
      <sz val="12"/>
      <color indexed="52"/>
      <name val="Arial"/>
      <family val="2"/>
    </font>
    <font>
      <b/>
      <sz val="10"/>
      <color indexed="5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/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ck">
        <color indexed="10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top"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17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9" fillId="18" borderId="0" xfId="36" applyAlignment="1">
      <alignment/>
    </xf>
    <xf numFmtId="0" fontId="0" fillId="0" borderId="15" xfId="0" applyFont="1" applyBorder="1" applyAlignment="1">
      <alignment/>
    </xf>
    <xf numFmtId="0" fontId="16" fillId="17" borderId="0" xfId="0" applyFont="1" applyFill="1" applyAlignment="1">
      <alignment horizontal="center"/>
    </xf>
    <xf numFmtId="0" fontId="0" fillId="17" borderId="0" xfId="0" applyFont="1" applyFill="1" applyAlignment="1">
      <alignment horizontal="left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9" fillId="20" borderId="23" xfId="38" applyBorder="1" applyAlignment="1">
      <alignment/>
    </xf>
    <xf numFmtId="0" fontId="29" fillId="19" borderId="24" xfId="37" applyBorder="1" applyAlignment="1">
      <alignment/>
    </xf>
    <xf numFmtId="0" fontId="43" fillId="3" borderId="25" xfId="57" applyBorder="1" applyAlignment="1">
      <alignment/>
    </xf>
    <xf numFmtId="0" fontId="29" fillId="13" borderId="25" xfId="39" applyBorder="1" applyAlignment="1">
      <alignment/>
    </xf>
    <xf numFmtId="0" fontId="4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7" borderId="0" xfId="0" applyFont="1" applyFill="1" applyAlignment="1">
      <alignment horizontal="center"/>
    </xf>
    <xf numFmtId="2" fontId="29" fillId="18" borderId="0" xfId="36" applyNumberFormat="1" applyAlignment="1">
      <alignment horizontal="center"/>
    </xf>
    <xf numFmtId="166" fontId="29" fillId="18" borderId="0" xfId="36" applyNumberFormat="1" applyAlignment="1">
      <alignment horizontal="center"/>
    </xf>
    <xf numFmtId="0" fontId="29" fillId="18" borderId="0" xfId="36" applyAlignment="1">
      <alignment horizontal="center"/>
    </xf>
    <xf numFmtId="2" fontId="43" fillId="3" borderId="0" xfId="57" applyNumberFormat="1" applyAlignment="1">
      <alignment horizontal="center"/>
    </xf>
    <xf numFmtId="166" fontId="43" fillId="3" borderId="0" xfId="57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166" fontId="0" fillId="10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45" fillId="0" borderId="2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6" fontId="0" fillId="1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0" fillId="3" borderId="0" xfId="0" applyNumberFormat="1" applyFont="1" applyFill="1" applyAlignment="1">
      <alignment horizontal="center"/>
    </xf>
    <xf numFmtId="2" fontId="0" fillId="10" borderId="0" xfId="0" applyNumberFormat="1" applyFont="1" applyFill="1" applyAlignment="1">
      <alignment horizontal="center"/>
    </xf>
    <xf numFmtId="0" fontId="19" fillId="0" borderId="3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4" fillId="0" borderId="32" xfId="0" applyFont="1" applyBorder="1" applyAlignment="1">
      <alignment/>
    </xf>
    <xf numFmtId="0" fontId="20" fillId="0" borderId="33" xfId="0" applyFont="1" applyBorder="1" applyAlignment="1">
      <alignment wrapText="1"/>
    </xf>
    <xf numFmtId="0" fontId="18" fillId="10" borderId="0" xfId="0" applyFont="1" applyFill="1" applyBorder="1" applyAlignment="1">
      <alignment wrapText="1"/>
    </xf>
    <xf numFmtId="0" fontId="18" fillId="10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10" borderId="0" xfId="0" applyFill="1" applyAlignment="1">
      <alignment horizontal="center"/>
    </xf>
    <xf numFmtId="166" fontId="0" fillId="1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0" fontId="46" fillId="3" borderId="0" xfId="0" applyFont="1" applyFill="1" applyAlignment="1">
      <alignment/>
    </xf>
    <xf numFmtId="2" fontId="44" fillId="4" borderId="0" xfId="58" applyNumberFormat="1" applyAlignment="1">
      <alignment horizontal="center"/>
    </xf>
    <xf numFmtId="166" fontId="44" fillId="4" borderId="0" xfId="58" applyNumberFormat="1" applyAlignment="1">
      <alignment horizontal="center"/>
    </xf>
    <xf numFmtId="2" fontId="28" fillId="3" borderId="0" xfId="16" applyNumberFormat="1" applyAlignment="1">
      <alignment horizontal="center"/>
    </xf>
    <xf numFmtId="166" fontId="28" fillId="3" borderId="0" xfId="16" applyNumberFormat="1" applyAlignment="1">
      <alignment horizontal="center"/>
    </xf>
    <xf numFmtId="0" fontId="34" fillId="22" borderId="0" xfId="45" applyAlignment="1">
      <alignment/>
    </xf>
    <xf numFmtId="0" fontId="47" fillId="22" borderId="0" xfId="45" applyFont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0" fillId="2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166" fontId="2" fillId="8" borderId="0" xfId="0" applyNumberFormat="1" applyFont="1" applyFill="1" applyAlignment="1">
      <alignment horizontal="center"/>
    </xf>
    <xf numFmtId="166" fontId="2" fillId="10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2" fontId="2" fillId="10" borderId="0" xfId="0" applyNumberFormat="1" applyFont="1" applyFill="1" applyAlignment="1">
      <alignment horizontal="center"/>
    </xf>
    <xf numFmtId="0" fontId="0" fillId="10" borderId="0" xfId="0" applyFill="1" applyAlignment="1">
      <alignment/>
    </xf>
    <xf numFmtId="166" fontId="0" fillId="10" borderId="0" xfId="0" applyNumberFormat="1" applyFill="1" applyAlignment="1">
      <alignment/>
    </xf>
    <xf numFmtId="166" fontId="4" fillId="1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45" fillId="10" borderId="0" xfId="0" applyNumberFormat="1" applyFont="1" applyFill="1" applyAlignment="1">
      <alignment horizontal="center"/>
    </xf>
    <xf numFmtId="166" fontId="45" fillId="3" borderId="0" xfId="0" applyNumberFormat="1" applyFont="1" applyFill="1" applyAlignment="1">
      <alignment horizontal="center"/>
    </xf>
    <xf numFmtId="0" fontId="16" fillId="0" borderId="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0" fillId="16" borderId="0" xfId="0" applyFill="1" applyAlignment="1">
      <alignment/>
    </xf>
    <xf numFmtId="0" fontId="23" fillId="0" borderId="0" xfId="0" applyFont="1" applyBorder="1" applyAlignment="1">
      <alignment horizontal="center" wrapText="1"/>
    </xf>
    <xf numFmtId="0" fontId="6" fillId="24" borderId="34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4" fillId="23" borderId="0" xfId="0" applyFont="1" applyFill="1" applyAlignment="1">
      <alignment horizontal="center" wrapText="1"/>
    </xf>
    <xf numFmtId="0" fontId="0" fillId="23" borderId="0" xfId="0" applyFill="1" applyAlignment="1">
      <alignment/>
    </xf>
    <xf numFmtId="166" fontId="4" fillId="23" borderId="0" xfId="0" applyNumberFormat="1" applyFont="1" applyFill="1" applyAlignment="1">
      <alignment horizontal="center"/>
    </xf>
    <xf numFmtId="0" fontId="0" fillId="23" borderId="0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9" xfId="0" applyFill="1" applyBorder="1" applyAlignment="1">
      <alignment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166" fontId="4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/>
    </xf>
    <xf numFmtId="2" fontId="4" fillId="2" borderId="0" xfId="0" applyNumberFormat="1" applyFont="1" applyFill="1" applyAlignment="1">
      <alignment horizontal="center"/>
    </xf>
    <xf numFmtId="2" fontId="0" fillId="10" borderId="0" xfId="0" applyNumberFormat="1" applyFont="1" applyFill="1" applyBorder="1" applyAlignment="1">
      <alignment horizontal="center" wrapText="1"/>
    </xf>
    <xf numFmtId="2" fontId="0" fillId="1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6" fontId="0" fillId="0" borderId="0" xfId="0" applyNumberFormat="1" applyFill="1" applyAlignment="1">
      <alignment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19" fillId="2" borderId="0" xfId="0" applyFont="1" applyFill="1" applyBorder="1" applyAlignment="1">
      <alignment wrapText="1"/>
    </xf>
    <xf numFmtId="0" fontId="6" fillId="7" borderId="2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166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166" fontId="0" fillId="3" borderId="0" xfId="0" applyNumberFormat="1" applyFont="1" applyFill="1" applyAlignment="1">
      <alignment horizontal="center"/>
    </xf>
    <xf numFmtId="44" fontId="0" fillId="25" borderId="0" xfId="59" applyFont="1" applyFill="1" applyAlignment="1">
      <alignment/>
    </xf>
    <xf numFmtId="0" fontId="49" fillId="0" borderId="0" xfId="0" applyFont="1" applyBorder="1" applyAlignment="1">
      <alignment horizontal="center" wrapText="1"/>
    </xf>
    <xf numFmtId="166" fontId="0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16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23" borderId="14" xfId="0" applyFont="1" applyFill="1" applyBorder="1" applyAlignment="1">
      <alignment/>
    </xf>
    <xf numFmtId="0" fontId="29" fillId="20" borderId="38" xfId="38" applyBorder="1" applyAlignment="1">
      <alignment/>
    </xf>
    <xf numFmtId="0" fontId="0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29" fillId="18" borderId="15" xfId="36" applyBorder="1" applyAlignment="1">
      <alignment/>
    </xf>
    <xf numFmtId="0" fontId="29" fillId="19" borderId="39" xfId="37" applyBorder="1" applyAlignment="1">
      <alignment/>
    </xf>
    <xf numFmtId="0" fontId="43" fillId="3" borderId="40" xfId="57" applyBorder="1" applyAlignment="1">
      <alignment/>
    </xf>
    <xf numFmtId="0" fontId="29" fillId="13" borderId="41" xfId="39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18" xfId="0" applyFont="1" applyFill="1" applyBorder="1" applyAlignment="1">
      <alignment horizontal="center"/>
    </xf>
    <xf numFmtId="0" fontId="1" fillId="26" borderId="30" xfId="0" applyFont="1" applyFill="1" applyBorder="1" applyAlignment="1">
      <alignment horizontal="center"/>
    </xf>
    <xf numFmtId="0" fontId="1" fillId="26" borderId="29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3" borderId="0" xfId="57" applyFont="1" applyAlignment="1">
      <alignment vertical="center"/>
    </xf>
    <xf numFmtId="0" fontId="51" fillId="4" borderId="0" xfId="58" applyFont="1" applyAlignment="1">
      <alignment horizontal="right" vertical="center"/>
    </xf>
    <xf numFmtId="0" fontId="50" fillId="3" borderId="0" xfId="57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6" fillId="3" borderId="37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6" borderId="0" xfId="0" applyFont="1" applyFill="1" applyBorder="1" applyAlignment="1">
      <alignment horizontal="center"/>
    </xf>
    <xf numFmtId="0" fontId="4" fillId="6" borderId="37" xfId="0" applyFont="1" applyFill="1" applyBorder="1" applyAlignment="1">
      <alignment/>
    </xf>
    <xf numFmtId="0" fontId="53" fillId="17" borderId="0" xfId="0" applyFont="1" applyFill="1" applyBorder="1" applyAlignment="1">
      <alignment horizontal="center"/>
    </xf>
    <xf numFmtId="0" fontId="54" fillId="17" borderId="37" xfId="0" applyFont="1" applyFill="1" applyBorder="1" applyAlignment="1">
      <alignment/>
    </xf>
    <xf numFmtId="0" fontId="55" fillId="17" borderId="0" xfId="0" applyFont="1" applyFill="1" applyBorder="1" applyAlignment="1">
      <alignment horizontal="center"/>
    </xf>
    <xf numFmtId="0" fontId="56" fillId="17" borderId="37" xfId="0" applyFont="1" applyFill="1" applyBorder="1" applyAlignment="1">
      <alignment/>
    </xf>
    <xf numFmtId="0" fontId="57" fillId="17" borderId="0" xfId="0" applyFont="1" applyFill="1" applyBorder="1" applyAlignment="1">
      <alignment horizontal="center"/>
    </xf>
    <xf numFmtId="0" fontId="58" fillId="17" borderId="37" xfId="0" applyFont="1" applyFill="1" applyBorder="1" applyAlignment="1">
      <alignment/>
    </xf>
    <xf numFmtId="0" fontId="46" fillId="3" borderId="37" xfId="0" applyFont="1" applyFill="1" applyBorder="1" applyAlignment="1">
      <alignment/>
    </xf>
    <xf numFmtId="0" fontId="14" fillId="0" borderId="0" xfId="0" applyFont="1" applyFill="1" applyAlignment="1">
      <alignment horizontal="justify" vertical="top" wrapText="1" shrinkToFit="1"/>
    </xf>
    <xf numFmtId="0" fontId="0" fillId="0" borderId="0" xfId="0" applyFill="1" applyAlignment="1">
      <alignment horizontal="justify" vertical="top" wrapText="1"/>
    </xf>
    <xf numFmtId="0" fontId="14" fillId="0" borderId="0" xfId="0" applyFont="1" applyAlignment="1">
      <alignment horizontal="center" vertical="center" shrinkToFit="1"/>
    </xf>
    <xf numFmtId="0" fontId="1" fillId="26" borderId="42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0" fillId="17" borderId="0" xfId="0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0" fillId="16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16" fontId="4" fillId="0" borderId="2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0" fillId="16" borderId="0" xfId="0" applyFill="1" applyAlignment="1">
      <alignment horizontal="center"/>
    </xf>
    <xf numFmtId="0" fontId="0" fillId="16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0" fillId="16" borderId="0" xfId="59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52" fillId="0" borderId="4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27" fillId="2" borderId="43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2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8"/>
  <sheetViews>
    <sheetView tabSelected="1" zoomScalePageLayoutView="0" workbookViewId="0" topLeftCell="A1">
      <selection activeCell="AB22" sqref="AB22"/>
    </sheetView>
  </sheetViews>
  <sheetFormatPr defaultColWidth="9.140625" defaultRowHeight="12.75"/>
  <cols>
    <col min="1" max="1" width="4.28125" style="0" customWidth="1"/>
    <col min="2" max="2" width="10.57421875" style="0" customWidth="1"/>
    <col min="3" max="3" width="20.140625" style="0" customWidth="1"/>
    <col min="4" max="4" width="2.57421875" style="1" customWidth="1"/>
    <col min="5" max="5" width="8.140625" style="1" customWidth="1"/>
    <col min="6" max="7" width="7.57421875" style="1" customWidth="1"/>
    <col min="8" max="9" width="8.140625" style="1" customWidth="1"/>
    <col min="10" max="10" width="7.57421875" style="1" customWidth="1"/>
    <col min="11" max="11" width="7.57421875" style="0" customWidth="1"/>
    <col min="12" max="14" width="8.140625" style="1" customWidth="1"/>
    <col min="15" max="15" width="8.140625" style="0" customWidth="1"/>
    <col min="16" max="16" width="7.57421875" style="0" customWidth="1"/>
    <col min="17" max="18" width="8.140625" style="0" customWidth="1"/>
    <col min="19" max="22" width="8.140625" style="1" customWidth="1"/>
    <col min="23" max="23" width="7.57421875" style="0" customWidth="1"/>
    <col min="24" max="29" width="8.140625" style="1" customWidth="1"/>
    <col min="30" max="30" width="2.57421875" style="1" customWidth="1"/>
    <col min="31" max="31" width="12.57421875" style="0" customWidth="1"/>
    <col min="32" max="32" width="2.00390625" style="0" customWidth="1"/>
  </cols>
  <sheetData>
    <row r="1" ht="7.5" customHeight="1" thickBot="1"/>
    <row r="2" spans="1:32" ht="20.25" customHeight="1" thickTop="1">
      <c r="A2" s="48"/>
      <c r="B2" s="241" t="s">
        <v>237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3"/>
      <c r="AF2" s="45"/>
    </row>
    <row r="3" spans="1:32" ht="8.25" customHeight="1" thickBot="1">
      <c r="A3" s="48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6"/>
      <c r="AF3" s="46"/>
    </row>
    <row r="4" spans="1:32" ht="22.5" customHeight="1" thickBot="1">
      <c r="A4" s="48"/>
      <c r="B4" s="107" t="s">
        <v>239</v>
      </c>
      <c r="C4" s="247" t="s">
        <v>238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9"/>
      <c r="AE4" s="107" t="s">
        <v>115</v>
      </c>
      <c r="AF4" s="46"/>
    </row>
    <row r="5" spans="2:31" ht="9" customHeight="1" thickTop="1">
      <c r="B5" s="47"/>
      <c r="AE5" s="47"/>
    </row>
    <row r="6" spans="2:31" ht="15">
      <c r="B6" s="105"/>
      <c r="C6" s="1"/>
      <c r="D6" s="250" t="s">
        <v>190</v>
      </c>
      <c r="E6" s="250"/>
      <c r="F6" s="236" t="s">
        <v>183</v>
      </c>
      <c r="G6" s="235"/>
      <c r="H6" s="251" t="s">
        <v>186</v>
      </c>
      <c r="I6" s="222"/>
      <c r="J6" s="236" t="s">
        <v>191</v>
      </c>
      <c r="K6" s="235"/>
      <c r="L6" s="222" t="s">
        <v>195</v>
      </c>
      <c r="M6" s="222"/>
      <c r="N6" s="235" t="s">
        <v>198</v>
      </c>
      <c r="O6" s="235"/>
      <c r="P6" s="108" t="s">
        <v>205</v>
      </c>
      <c r="Q6" s="235" t="s">
        <v>206</v>
      </c>
      <c r="R6" s="235"/>
      <c r="S6" s="222" t="s">
        <v>209</v>
      </c>
      <c r="T6" s="222"/>
      <c r="U6" s="238" t="s">
        <v>213</v>
      </c>
      <c r="V6" s="238"/>
      <c r="W6" s="172" t="s">
        <v>216</v>
      </c>
      <c r="X6" s="110" t="s">
        <v>218</v>
      </c>
      <c r="Y6" s="251" t="s">
        <v>221</v>
      </c>
      <c r="Z6" s="251"/>
      <c r="AA6" s="236" t="s">
        <v>224</v>
      </c>
      <c r="AB6" s="236"/>
      <c r="AC6" s="98" t="s">
        <v>227</v>
      </c>
      <c r="AD6" s="110"/>
      <c r="AE6" s="108"/>
    </row>
    <row r="7" spans="3:31" ht="52.5" customHeight="1">
      <c r="C7" s="106" t="s">
        <v>29</v>
      </c>
      <c r="D7" s="237"/>
      <c r="E7" s="237"/>
      <c r="F7" s="237" t="s">
        <v>187</v>
      </c>
      <c r="G7" s="237"/>
      <c r="H7" s="237" t="s">
        <v>180</v>
      </c>
      <c r="I7" s="237"/>
      <c r="J7" s="237" t="s">
        <v>192</v>
      </c>
      <c r="K7" s="237"/>
      <c r="L7" s="237" t="s">
        <v>196</v>
      </c>
      <c r="M7" s="237"/>
      <c r="N7" s="237" t="s">
        <v>200</v>
      </c>
      <c r="O7" s="237"/>
      <c r="P7" s="84" t="s">
        <v>204</v>
      </c>
      <c r="Q7" s="239" t="s">
        <v>208</v>
      </c>
      <c r="R7" s="239"/>
      <c r="S7" s="239" t="s">
        <v>210</v>
      </c>
      <c r="T7" s="239"/>
      <c r="U7" s="237" t="s">
        <v>214</v>
      </c>
      <c r="V7" s="237"/>
      <c r="W7" s="84" t="s">
        <v>217</v>
      </c>
      <c r="X7" s="173" t="s">
        <v>220</v>
      </c>
      <c r="Y7" s="237" t="s">
        <v>223</v>
      </c>
      <c r="Z7" s="237"/>
      <c r="AA7" s="237" t="s">
        <v>225</v>
      </c>
      <c r="AB7" s="237"/>
      <c r="AC7" s="84" t="s">
        <v>229</v>
      </c>
      <c r="AD7" s="131"/>
      <c r="AE7" s="132" t="s">
        <v>42</v>
      </c>
    </row>
    <row r="8" spans="2:31" ht="15" customHeight="1">
      <c r="B8" s="58" t="s">
        <v>98</v>
      </c>
      <c r="C8" s="55"/>
      <c r="D8" s="232"/>
      <c r="E8" s="233"/>
      <c r="F8" s="233">
        <v>6.6</v>
      </c>
      <c r="G8" s="233"/>
      <c r="H8" s="234" t="s">
        <v>181</v>
      </c>
      <c r="I8" s="234"/>
      <c r="J8" s="234" t="s">
        <v>193</v>
      </c>
      <c r="K8" s="234"/>
      <c r="L8" s="233">
        <v>21.1</v>
      </c>
      <c r="M8" s="233"/>
      <c r="N8" s="233" t="s">
        <v>199</v>
      </c>
      <c r="O8" s="233"/>
      <c r="P8" s="55">
        <v>11</v>
      </c>
      <c r="Q8" s="240" t="s">
        <v>207</v>
      </c>
      <c r="R8" s="240"/>
      <c r="S8" s="240" t="s">
        <v>211</v>
      </c>
      <c r="T8" s="240"/>
      <c r="U8" s="233" t="s">
        <v>212</v>
      </c>
      <c r="V8" s="233"/>
      <c r="W8" s="55" t="s">
        <v>215</v>
      </c>
      <c r="X8" s="55" t="s">
        <v>219</v>
      </c>
      <c r="Y8" s="233" t="s">
        <v>222</v>
      </c>
      <c r="Z8" s="233"/>
      <c r="AA8" s="233" t="s">
        <v>226</v>
      </c>
      <c r="AB8" s="233"/>
      <c r="AC8" s="55" t="s">
        <v>228</v>
      </c>
      <c r="AD8" s="55"/>
      <c r="AE8" s="132"/>
    </row>
    <row r="9" spans="2:31" ht="15" customHeight="1">
      <c r="B9" s="60"/>
      <c r="C9" s="61"/>
      <c r="D9" s="231" t="s">
        <v>82</v>
      </c>
      <c r="E9" s="231"/>
      <c r="F9" s="61" t="s">
        <v>83</v>
      </c>
      <c r="G9" s="61" t="s">
        <v>82</v>
      </c>
      <c r="H9" s="61" t="s">
        <v>83</v>
      </c>
      <c r="I9" s="61" t="s">
        <v>82</v>
      </c>
      <c r="J9" s="61" t="s">
        <v>83</v>
      </c>
      <c r="K9" s="61" t="s">
        <v>82</v>
      </c>
      <c r="L9" s="61" t="s">
        <v>83</v>
      </c>
      <c r="M9" s="61" t="s">
        <v>82</v>
      </c>
      <c r="N9" s="61" t="s">
        <v>83</v>
      </c>
      <c r="O9" s="61" t="s">
        <v>82</v>
      </c>
      <c r="P9" s="61" t="s">
        <v>82</v>
      </c>
      <c r="Q9" s="61" t="s">
        <v>83</v>
      </c>
      <c r="R9" s="61" t="s">
        <v>82</v>
      </c>
      <c r="S9" s="61" t="s">
        <v>83</v>
      </c>
      <c r="T9" s="61" t="s">
        <v>82</v>
      </c>
      <c r="U9" s="61" t="s">
        <v>83</v>
      </c>
      <c r="V9" s="61" t="s">
        <v>82</v>
      </c>
      <c r="W9" s="61" t="s">
        <v>82</v>
      </c>
      <c r="X9" s="61" t="s">
        <v>82</v>
      </c>
      <c r="Y9" s="61" t="s">
        <v>83</v>
      </c>
      <c r="Z9" s="61" t="s">
        <v>82</v>
      </c>
      <c r="AA9" s="61" t="s">
        <v>83</v>
      </c>
      <c r="AB9" s="61" t="s">
        <v>82</v>
      </c>
      <c r="AC9" s="61" t="s">
        <v>82</v>
      </c>
      <c r="AD9" s="61"/>
      <c r="AE9" s="132"/>
    </row>
    <row r="10" spans="2:31" ht="13.5" customHeight="1">
      <c r="B10" s="166" t="s">
        <v>1</v>
      </c>
      <c r="C10" s="167"/>
      <c r="E10" s="23"/>
      <c r="F10" s="23"/>
      <c r="G10" s="23"/>
      <c r="I10" s="23"/>
      <c r="K10" s="23"/>
      <c r="M10" s="23"/>
      <c r="N10" s="87"/>
      <c r="O10" s="87"/>
      <c r="P10" s="88"/>
      <c r="Q10" s="73"/>
      <c r="S10" s="73"/>
      <c r="T10"/>
      <c r="U10" s="23"/>
      <c r="V10" s="87"/>
      <c r="W10" s="87"/>
      <c r="X10" s="23"/>
      <c r="Y10" s="23"/>
      <c r="Z10" s="23"/>
      <c r="AA10" s="23"/>
      <c r="AB10" s="23"/>
      <c r="AC10" s="23"/>
      <c r="AD10" s="23"/>
      <c r="AE10" s="133"/>
    </row>
    <row r="11" spans="2:33" ht="15">
      <c r="B11" s="211" t="s">
        <v>2</v>
      </c>
      <c r="C11" s="212" t="s">
        <v>76</v>
      </c>
      <c r="D11" s="78"/>
      <c r="E11" s="119">
        <f>'Classifica fino al 2508'!AZ12</f>
        <v>258.0500000000014</v>
      </c>
      <c r="F11" s="139"/>
      <c r="G11" s="139"/>
      <c r="H11" s="75"/>
      <c r="I11" s="76"/>
      <c r="J11" s="38"/>
      <c r="K11" s="74"/>
      <c r="L11" s="75"/>
      <c r="M11" s="76"/>
      <c r="N11" s="86">
        <v>5.28</v>
      </c>
      <c r="O11" s="79">
        <f>33.25*LOOKUP(N11,Performance!$C$1:$C$123,Performance!$D$1:$D$123)</f>
        <v>33.58250000000042</v>
      </c>
      <c r="P11" s="74"/>
      <c r="Q11" s="79">
        <v>5.19</v>
      </c>
      <c r="R11" s="79">
        <v>21.1</v>
      </c>
      <c r="S11" s="74">
        <v>5.25</v>
      </c>
      <c r="T11" s="74">
        <f>42.2*1.025</f>
        <v>43.255</v>
      </c>
      <c r="U11" s="76">
        <v>4.4</v>
      </c>
      <c r="V11" s="76">
        <f>14*(LOOKUP(U11,Performance!$A$1:$A$123,Performance!$B$1:$B$123))</f>
        <v>15.400000000000151</v>
      </c>
      <c r="W11" s="74">
        <v>23</v>
      </c>
      <c r="X11" s="76"/>
      <c r="Y11" s="79">
        <v>4.23</v>
      </c>
      <c r="Z11" s="79">
        <f>15*(LOOKUP(Y11,Performance!$A$1:$A$123,Performance!$B$1:$B$123))</f>
        <v>17.775000000000134</v>
      </c>
      <c r="AA11" s="76">
        <v>5.52</v>
      </c>
      <c r="AB11" s="76">
        <f>42.2*LOOKUP(AA11,Performance!$E$1:$E$123,Performance!$F$1:$F$123)</f>
        <v>42.20000000000054</v>
      </c>
      <c r="AC11" s="74">
        <v>10.55</v>
      </c>
      <c r="AD11" s="79"/>
      <c r="AE11" s="134">
        <f aca="true" t="shared" si="0" ref="AE11:AE41">E11+G11+I11+K11+M11+O11+P11+R11+T11+V11+W11+X11+Z11+AB11+AC11</f>
        <v>464.9125000000027</v>
      </c>
      <c r="AG11" s="4"/>
    </row>
    <row r="12" spans="2:33" ht="15">
      <c r="B12" s="213" t="s">
        <v>3</v>
      </c>
      <c r="C12" s="214" t="s">
        <v>67</v>
      </c>
      <c r="D12" s="78"/>
      <c r="E12" s="119">
        <f>'Classifica fino al 2508'!AZ11</f>
        <v>285.6185000000013</v>
      </c>
      <c r="F12" s="139"/>
      <c r="G12" s="139"/>
      <c r="H12" s="75">
        <v>4.57</v>
      </c>
      <c r="I12" s="76">
        <f>15*LOOKUP(H12,Performance!$A$1:$A$123,Performance!$B$1:$B$123)</f>
        <v>15.225000000000188</v>
      </c>
      <c r="J12" s="38">
        <v>4.41</v>
      </c>
      <c r="K12" s="74">
        <f>10*LOOKUP(J12,Performance!$A$1:$A$123,Performance!$B$1:$B$123)</f>
        <v>10.95000000000011</v>
      </c>
      <c r="L12" s="75">
        <v>5.01</v>
      </c>
      <c r="M12" s="76">
        <f>21.1*LOOKUP(L12,Performance!$A$1:$A$123,Performance!$B$1:$B$123)</f>
        <v>21.1</v>
      </c>
      <c r="N12" s="86">
        <v>5.08</v>
      </c>
      <c r="O12" s="79">
        <f>33.25*LOOKUP(N12,Performance!$C$1:$C$123,Performance!$D$1:$D$123)</f>
        <v>36.90750000000035</v>
      </c>
      <c r="P12" s="74"/>
      <c r="Q12" s="119" t="s">
        <v>197</v>
      </c>
      <c r="R12" s="79">
        <v>6</v>
      </c>
      <c r="S12" s="140">
        <v>5</v>
      </c>
      <c r="T12" s="74">
        <f>21.1*(LOOKUP(S12,Performance!$A$1:$A$123,Performance!$B$1:$B$123))</f>
        <v>21.1</v>
      </c>
      <c r="U12" s="76">
        <v>4.36</v>
      </c>
      <c r="V12" s="76">
        <f>14*(LOOKUP(U12,Performance!$A$1:$A$123,Performance!$B$1:$B$123))</f>
        <v>15.680000000000145</v>
      </c>
      <c r="W12" s="74"/>
      <c r="X12" s="76">
        <f>14*1.125</f>
        <v>15.75</v>
      </c>
      <c r="Y12" s="79">
        <v>4.36</v>
      </c>
      <c r="Z12" s="79">
        <f>15*(LOOKUP(Y12,Performance!$A$1:$A$123,Performance!$B$1:$B$123))</f>
        <v>16.800000000000153</v>
      </c>
      <c r="AA12" s="144" t="s">
        <v>197</v>
      </c>
      <c r="AB12" s="76">
        <v>4.8</v>
      </c>
      <c r="AC12" s="74"/>
      <c r="AD12" s="79"/>
      <c r="AE12" s="134">
        <f t="shared" si="0"/>
        <v>449.93100000000226</v>
      </c>
      <c r="AG12" s="4"/>
    </row>
    <row r="13" spans="2:33" ht="15">
      <c r="B13" s="215" t="s">
        <v>4</v>
      </c>
      <c r="C13" s="216" t="s">
        <v>62</v>
      </c>
      <c r="D13" s="78"/>
      <c r="E13" s="119">
        <f>'Classifica fino al 2508'!AZ19</f>
        <v>160.59950000000077</v>
      </c>
      <c r="F13" s="140">
        <v>4.02</v>
      </c>
      <c r="G13" s="74">
        <f>6.6*(LOOKUP(F13,Performance!$A$1:$A$123,Performance!$B$1:$B$123)+0.045)</f>
        <v>8.811000000000043</v>
      </c>
      <c r="H13" s="75">
        <v>3.54</v>
      </c>
      <c r="I13" s="76">
        <f>12*(LOOKUP(H13,Performance!$A$1:$A$123,Performance!$B$1:$B$123)+0.045)</f>
        <v>16.50000000000007</v>
      </c>
      <c r="J13" s="38"/>
      <c r="K13" s="74"/>
      <c r="L13" s="75">
        <v>4.07</v>
      </c>
      <c r="M13" s="76">
        <f>21.1*(LOOKUP(L13,Performance!$A$1:$A$123,Performance!$B$1:$B$123)+0.045)</f>
        <v>27.641000000000155</v>
      </c>
      <c r="N13" s="147">
        <v>4.11</v>
      </c>
      <c r="O13" s="79">
        <f>33.25*(LOOKUP(N13,Performance!$C$1:$C$123,Performance!$D$1:$D$123)+0.045)</f>
        <v>47.880000000000145</v>
      </c>
      <c r="P13" s="149"/>
      <c r="Q13" s="79">
        <v>4.22</v>
      </c>
      <c r="R13" s="79">
        <f>21.1*(LOOKUP(Q13,Performance!$A$1:$A$123,Performance!$B$1:$B$123)+0.045)</f>
        <v>26.058500000000187</v>
      </c>
      <c r="S13" s="74">
        <v>3.48</v>
      </c>
      <c r="T13" s="74">
        <f>21.1*(LOOKUP(S13,Performance!$A$1:$A$123,Performance!$B$1:$B$123)+0.045)</f>
        <v>29.64550000000011</v>
      </c>
      <c r="U13" s="76"/>
      <c r="V13" s="156"/>
      <c r="W13" s="149"/>
      <c r="X13" s="76"/>
      <c r="Y13" s="79">
        <v>4.12</v>
      </c>
      <c r="Z13" s="79">
        <f>42.2*(LOOKUP(Y13,Performance!$C$1:$C$123,Performance!$D$1:$D$123)+0.045)</f>
        <v>60.557000000000194</v>
      </c>
      <c r="AA13" s="144" t="s">
        <v>197</v>
      </c>
      <c r="AB13" s="76">
        <v>4.8</v>
      </c>
      <c r="AC13" s="74"/>
      <c r="AD13" s="79"/>
      <c r="AE13" s="134">
        <f t="shared" si="0"/>
        <v>382.49250000000166</v>
      </c>
      <c r="AG13" s="4"/>
    </row>
    <row r="14" spans="2:33" ht="15">
      <c r="B14" s="209" t="s">
        <v>5</v>
      </c>
      <c r="C14" s="210" t="s">
        <v>105</v>
      </c>
      <c r="D14" s="95"/>
      <c r="E14" s="119">
        <f>'Classifica fino al 2508'!AZ14</f>
        <v>184.91000000000042</v>
      </c>
      <c r="F14" s="139"/>
      <c r="G14" s="139"/>
      <c r="H14" s="94">
        <v>4.52</v>
      </c>
      <c r="I14" s="76">
        <f>12*LOOKUP(H14,Performance!$A$1:$A$123,Performance!$B$1:$B$123+0.09)</f>
        <v>13.560000000000144</v>
      </c>
      <c r="J14" s="97"/>
      <c r="K14" s="74"/>
      <c r="L14" s="94"/>
      <c r="M14" s="94"/>
      <c r="N14" s="119" t="s">
        <v>197</v>
      </c>
      <c r="O14" s="96">
        <v>5.95</v>
      </c>
      <c r="P14" s="150"/>
      <c r="Q14" s="79">
        <v>6.22</v>
      </c>
      <c r="R14" s="79">
        <v>42.2</v>
      </c>
      <c r="S14" s="74">
        <v>5.09</v>
      </c>
      <c r="T14" s="74">
        <f>21.1*1.045</f>
        <v>22.0495</v>
      </c>
      <c r="U14" s="76">
        <v>4.56</v>
      </c>
      <c r="V14" s="76">
        <f>14*1.11</f>
        <v>15.540000000000001</v>
      </c>
      <c r="W14" s="74"/>
      <c r="X14" s="76"/>
      <c r="Y14" s="79">
        <v>4.52</v>
      </c>
      <c r="Z14" s="79">
        <f>15*(LOOKUP(Y14,Performance!$A$1:$A$123,Performance!$B$1:$B$123)+0.09)</f>
        <v>16.95000000000018</v>
      </c>
      <c r="AA14" s="76">
        <v>5.42</v>
      </c>
      <c r="AB14" s="76">
        <f>1.025*42.2</f>
        <v>43.255</v>
      </c>
      <c r="AC14" s="74">
        <v>5</v>
      </c>
      <c r="AD14" s="79"/>
      <c r="AE14" s="134">
        <f t="shared" si="0"/>
        <v>349.41450000000077</v>
      </c>
      <c r="AG14" s="4"/>
    </row>
    <row r="15" spans="2:33" ht="15">
      <c r="B15" s="209" t="s">
        <v>6</v>
      </c>
      <c r="C15" s="210" t="s">
        <v>60</v>
      </c>
      <c r="D15" s="78"/>
      <c r="E15" s="119">
        <f>'Classifica fino al 2508'!AZ18</f>
        <v>166.93450000000078</v>
      </c>
      <c r="F15" s="139"/>
      <c r="G15" s="139"/>
      <c r="H15" s="75">
        <v>4.57</v>
      </c>
      <c r="I15" s="76">
        <f>15*LOOKUP(H15,Performance!$A$1:$A$123,Performance!$B$1:$B$123)</f>
        <v>15.225000000000188</v>
      </c>
      <c r="J15" s="38"/>
      <c r="K15" s="74"/>
      <c r="L15" s="75">
        <v>4.41</v>
      </c>
      <c r="M15" s="76">
        <f>21.1*LOOKUP(L15,Performance!$A$1:$A$123,Performance!$B$1:$B$123)</f>
        <v>23.10450000000023</v>
      </c>
      <c r="N15" s="78">
        <v>4.57</v>
      </c>
      <c r="O15" s="79">
        <f>33.25*LOOKUP(N15,Performance!$C$1:$C$123,Performance!$D$1:$D$123)</f>
        <v>38.73625000000031</v>
      </c>
      <c r="P15" s="74"/>
      <c r="Q15" s="79"/>
      <c r="R15" s="79"/>
      <c r="S15" s="74">
        <v>4.17</v>
      </c>
      <c r="T15" s="74">
        <f>21.1*(LOOKUP(S15,Performance!$A$1:$A$123,Performance!$B$1:$B$123))</f>
        <v>25.636500000000176</v>
      </c>
      <c r="U15" s="76"/>
      <c r="V15" s="141"/>
      <c r="W15" s="74"/>
      <c r="X15" s="76"/>
      <c r="Y15" s="79">
        <v>4.15</v>
      </c>
      <c r="Z15" s="79">
        <f>15*(LOOKUP(Y15,Performance!$A$1:$A$123,Performance!$B$1:$B$123))</f>
        <v>18.37500000000012</v>
      </c>
      <c r="AA15" s="76">
        <v>5</v>
      </c>
      <c r="AB15" s="76">
        <f>42.2*LOOKUP(AA15,Performance!$E$1:$E$123,Performance!$F$1:$F$123)</f>
        <v>48.53000000000041</v>
      </c>
      <c r="AC15" s="74"/>
      <c r="AD15" s="79"/>
      <c r="AE15" s="134">
        <f t="shared" si="0"/>
        <v>336.54175000000225</v>
      </c>
      <c r="AG15" s="4"/>
    </row>
    <row r="16" spans="2:33" ht="15">
      <c r="B16" s="209" t="s">
        <v>7</v>
      </c>
      <c r="C16" s="210" t="s">
        <v>64</v>
      </c>
      <c r="D16" s="78"/>
      <c r="E16" s="119">
        <f>'Classifica fino al 2508'!AZ16</f>
        <v>179.57250000000045</v>
      </c>
      <c r="F16" s="139"/>
      <c r="G16" s="139"/>
      <c r="H16" s="75"/>
      <c r="I16" s="76"/>
      <c r="J16" s="38"/>
      <c r="K16" s="74"/>
      <c r="L16" s="75">
        <v>4.3</v>
      </c>
      <c r="M16" s="76">
        <f>21.1*LOOKUP(L16,Performance!$A$1:$A$123,Performance!$B$1:$B$123)</f>
        <v>24.265000000000207</v>
      </c>
      <c r="N16" s="148">
        <v>4.39</v>
      </c>
      <c r="O16" s="79">
        <f>33.25*LOOKUP(N16,Performance!$C$1:$C$123,Performance!$D$1:$D$123)</f>
        <v>41.72875000000025</v>
      </c>
      <c r="P16" s="149"/>
      <c r="Q16" s="79">
        <v>4.22</v>
      </c>
      <c r="R16" s="79">
        <f>21.1*(LOOKUP(Q16,Performance!$A$1:$A$123,Performance!$B$1:$B$123))</f>
        <v>25.109000000000187</v>
      </c>
      <c r="S16" s="74"/>
      <c r="T16" s="74"/>
      <c r="U16" s="76">
        <v>4.43</v>
      </c>
      <c r="V16" s="76">
        <f>42.2*LOOKUP(U16,Performance!$E$1:$E$123,Performance!$F$1:$F$123)</f>
        <v>52.11700000000034</v>
      </c>
      <c r="W16" s="149"/>
      <c r="X16" s="76"/>
      <c r="Y16" s="79"/>
      <c r="Z16" s="79"/>
      <c r="AA16" s="144"/>
      <c r="AB16" s="76"/>
      <c r="AC16" s="74"/>
      <c r="AD16" s="79"/>
      <c r="AE16" s="134">
        <f t="shared" si="0"/>
        <v>322.79225000000145</v>
      </c>
      <c r="AG16" s="4"/>
    </row>
    <row r="17" spans="2:31" ht="15" customHeight="1">
      <c r="B17" s="209" t="s">
        <v>8</v>
      </c>
      <c r="C17" s="210" t="s">
        <v>65</v>
      </c>
      <c r="D17" s="78"/>
      <c r="E17" s="119">
        <f>'Classifica fino al 2508'!AZ13</f>
        <v>187.77700000000092</v>
      </c>
      <c r="F17" s="139"/>
      <c r="G17" s="139"/>
      <c r="H17" s="75"/>
      <c r="I17" s="76"/>
      <c r="J17" s="38"/>
      <c r="K17" s="74"/>
      <c r="L17" s="75">
        <v>4.41</v>
      </c>
      <c r="M17" s="76">
        <f>21.1*LOOKUP(L17,Performance!$A$1:$A$123,Performance!$B$1:$B$123)</f>
        <v>23.10450000000023</v>
      </c>
      <c r="N17" s="86"/>
      <c r="O17" s="79"/>
      <c r="P17" s="74"/>
      <c r="Q17" s="79"/>
      <c r="R17" s="79"/>
      <c r="S17" s="74">
        <v>4.17</v>
      </c>
      <c r="T17" s="74">
        <f>21.1*(LOOKUP(S17,Performance!$A$1:$A$123,Performance!$B$1:$B$123))</f>
        <v>25.636500000000176</v>
      </c>
      <c r="U17" s="76"/>
      <c r="V17" s="141"/>
      <c r="W17" s="74"/>
      <c r="X17" s="76"/>
      <c r="Y17" s="79">
        <v>4.15</v>
      </c>
      <c r="Z17" s="79">
        <f>15*(LOOKUP(Y17,Performance!$A$1:$A$123,Performance!$B$1:$B$123))</f>
        <v>18.37500000000012</v>
      </c>
      <c r="AA17" s="76">
        <v>4.59</v>
      </c>
      <c r="AB17" s="76">
        <f>42.2*LOOKUP(AA17,Performance!$E$1:$E$123,Performance!$F$1:$F$123)</f>
        <v>48.741000000000405</v>
      </c>
      <c r="AC17" s="74">
        <v>10.55</v>
      </c>
      <c r="AD17" s="79"/>
      <c r="AE17" s="134">
        <f t="shared" si="0"/>
        <v>314.18400000000184</v>
      </c>
    </row>
    <row r="18" spans="2:31" ht="15" customHeight="1">
      <c r="B18" s="209" t="s">
        <v>9</v>
      </c>
      <c r="C18" s="217" t="s">
        <v>63</v>
      </c>
      <c r="D18" s="71"/>
      <c r="E18" s="169">
        <f>'Classifica fino al 2508'!AZ15</f>
        <v>179.87600000000174</v>
      </c>
      <c r="F18" s="169"/>
      <c r="G18" s="169"/>
      <c r="H18" s="71">
        <v>5.58</v>
      </c>
      <c r="I18" s="77">
        <f>15*LOOKUP(H18,Performance!$C$4:$C$124,Performance!$D$4:$D$124)</f>
        <v>15.000000000000194</v>
      </c>
      <c r="J18" s="71">
        <v>5.32</v>
      </c>
      <c r="K18" s="77">
        <f>10*LOOKUP(J18,Performance!$C$4:$C$124,Performance!$D$4:$D$124)</f>
        <v>10.000000000000128</v>
      </c>
      <c r="L18" s="71"/>
      <c r="M18" s="77"/>
      <c r="N18" s="170" t="s">
        <v>197</v>
      </c>
      <c r="O18" s="77">
        <f>11.9/2</f>
        <v>5.95</v>
      </c>
      <c r="P18" s="77"/>
      <c r="Q18" s="169" t="s">
        <v>197</v>
      </c>
      <c r="R18" s="77">
        <v>6</v>
      </c>
      <c r="S18" s="171">
        <v>5.18</v>
      </c>
      <c r="T18" s="171">
        <f>1.06*21.1</f>
        <v>22.366000000000003</v>
      </c>
      <c r="U18" s="171">
        <v>5.09</v>
      </c>
      <c r="V18" s="77">
        <f>14*LOOKUP(U18,Performance!$C$4:$C$124,Performance!$D$4:$D$124)</f>
        <v>15.470000000000148</v>
      </c>
      <c r="W18" s="171"/>
      <c r="X18" s="171"/>
      <c r="Y18" s="171">
        <v>5.09</v>
      </c>
      <c r="Z18" s="77">
        <f>15*LOOKUP(Y18,Performance!$C$4:$C$124,Performance!$D$4:$D$124)</f>
        <v>16.57500000000016</v>
      </c>
      <c r="AA18" s="169" t="s">
        <v>197</v>
      </c>
      <c r="AB18" s="77">
        <v>4.8</v>
      </c>
      <c r="AC18" s="171"/>
      <c r="AD18" s="171"/>
      <c r="AE18" s="169">
        <f t="shared" si="0"/>
        <v>276.03700000000237</v>
      </c>
    </row>
    <row r="19" spans="2:31" ht="15" customHeight="1">
      <c r="B19" s="209" t="s">
        <v>10</v>
      </c>
      <c r="C19" s="210" t="s">
        <v>66</v>
      </c>
      <c r="D19" s="78"/>
      <c r="E19" s="119">
        <f>'Classifica fino al 2508'!AZ24</f>
        <v>94.09350000000072</v>
      </c>
      <c r="F19" s="139"/>
      <c r="G19" s="139"/>
      <c r="H19" s="75">
        <v>4.4</v>
      </c>
      <c r="I19" s="76">
        <f>12*(LOOKUP(H19,Performance!$A$1:$A$123,Performance!$B$1:$B$123)+0.045)</f>
        <v>13.740000000000128</v>
      </c>
      <c r="J19" s="38"/>
      <c r="K19" s="74"/>
      <c r="L19" s="75">
        <v>4.52</v>
      </c>
      <c r="M19" s="76">
        <f>21.1*(LOOKUP(L19,Performance!$A$1:$A$123,Performance!$B$1:$B$123)+0.045)</f>
        <v>22.893500000000255</v>
      </c>
      <c r="N19" s="78">
        <v>5.06</v>
      </c>
      <c r="O19" s="79">
        <f>33.25*(LOOKUP(N19,Performance!$C$1:$C$123,Performance!$D$1:$D$123)+0.045)</f>
        <v>38.73625000000034</v>
      </c>
      <c r="P19" s="74"/>
      <c r="Q19" s="79"/>
      <c r="R19" s="79"/>
      <c r="S19" s="74">
        <v>4.25</v>
      </c>
      <c r="T19" s="74">
        <f>21.1*(LOOKUP(S19,Performance!$A$1:$A$123,Performance!$B$1:$B$123)+0.045)</f>
        <v>25.742000000000193</v>
      </c>
      <c r="U19" s="76"/>
      <c r="V19" s="76"/>
      <c r="W19" s="74"/>
      <c r="X19" s="76"/>
      <c r="Y19" s="79">
        <v>5.23</v>
      </c>
      <c r="Z19" s="79">
        <f>42.2*(LOOKUP(Y19,Performance!$C$1:$C$123,Performance!$D$1:$D$123)+0.045)</f>
        <v>45.57600000000051</v>
      </c>
      <c r="AA19" s="144" t="s">
        <v>197</v>
      </c>
      <c r="AB19" s="76">
        <v>4.8</v>
      </c>
      <c r="AC19" s="74"/>
      <c r="AD19" s="79"/>
      <c r="AE19" s="134">
        <f t="shared" si="0"/>
        <v>245.58125000000214</v>
      </c>
    </row>
    <row r="20" spans="2:31" ht="15">
      <c r="B20" s="209" t="s">
        <v>11</v>
      </c>
      <c r="C20" s="210" t="s">
        <v>128</v>
      </c>
      <c r="D20" s="95"/>
      <c r="E20" s="119">
        <f>'Classifica fino al 2508'!AZ21</f>
        <v>137.38900000000015</v>
      </c>
      <c r="F20" s="139"/>
      <c r="G20" s="139"/>
      <c r="H20" s="94">
        <v>5.15</v>
      </c>
      <c r="I20" s="76">
        <v>12</v>
      </c>
      <c r="J20" s="97"/>
      <c r="K20" s="74"/>
      <c r="L20" s="94">
        <v>5.29</v>
      </c>
      <c r="M20" s="76">
        <v>21.1</v>
      </c>
      <c r="N20" s="119" t="s">
        <v>197</v>
      </c>
      <c r="O20" s="96">
        <v>5.95</v>
      </c>
      <c r="P20" s="151"/>
      <c r="Q20" s="119" t="s">
        <v>197</v>
      </c>
      <c r="R20" s="79">
        <v>6</v>
      </c>
      <c r="S20" s="140">
        <v>5.01</v>
      </c>
      <c r="T20" s="74">
        <v>21.1</v>
      </c>
      <c r="U20" s="94">
        <v>4.53</v>
      </c>
      <c r="V20" s="76">
        <f>14*(LOOKUP(U20,Performance!$A$1:$A$123,Performance!$B$1:$B$123))</f>
        <v>14.490000000000169</v>
      </c>
      <c r="W20" s="74"/>
      <c r="X20" s="94"/>
      <c r="Y20" s="79">
        <v>5.05</v>
      </c>
      <c r="Z20" s="79">
        <f>15*(LOOKUP(Y20,Performance!$A$1:$A$123,Performance!$B$1:$B$123))</f>
        <v>15</v>
      </c>
      <c r="AA20" s="144" t="s">
        <v>197</v>
      </c>
      <c r="AB20" s="76">
        <v>4.8</v>
      </c>
      <c r="AC20" s="74">
        <v>5</v>
      </c>
      <c r="AD20" s="95"/>
      <c r="AE20" s="134">
        <f t="shared" si="0"/>
        <v>242.82900000000032</v>
      </c>
    </row>
    <row r="21" spans="2:31" ht="15">
      <c r="B21" s="152" t="s">
        <v>12</v>
      </c>
      <c r="C21" s="168" t="s">
        <v>59</v>
      </c>
      <c r="D21" s="78"/>
      <c r="E21" s="119">
        <f>'Classifica fino al 2508'!AZ17</f>
        <v>172.90250000000052</v>
      </c>
      <c r="F21" s="139"/>
      <c r="G21" s="139"/>
      <c r="H21" s="75"/>
      <c r="I21" s="76"/>
      <c r="J21" s="38"/>
      <c r="K21" s="74"/>
      <c r="L21" s="146" t="s">
        <v>197</v>
      </c>
      <c r="M21" s="76">
        <v>1.5</v>
      </c>
      <c r="N21" s="119" t="s">
        <v>197</v>
      </c>
      <c r="O21" s="79">
        <v>4</v>
      </c>
      <c r="P21" s="74"/>
      <c r="Q21" s="79"/>
      <c r="R21" s="79"/>
      <c r="S21" s="139" t="s">
        <v>197</v>
      </c>
      <c r="T21" s="74">
        <v>3.5</v>
      </c>
      <c r="U21" s="76"/>
      <c r="V21" s="141"/>
      <c r="W21" s="74"/>
      <c r="X21" s="76"/>
      <c r="Y21" s="83" t="s">
        <v>197</v>
      </c>
      <c r="Z21" s="79">
        <v>2.5</v>
      </c>
      <c r="AA21" s="76"/>
      <c r="AB21" s="76"/>
      <c r="AC21" s="74"/>
      <c r="AD21" s="79"/>
      <c r="AE21" s="134">
        <f t="shared" si="0"/>
        <v>184.40250000000052</v>
      </c>
    </row>
    <row r="22" spans="2:31" ht="15">
      <c r="B22" s="152" t="s">
        <v>13</v>
      </c>
      <c r="C22" s="168" t="s">
        <v>70</v>
      </c>
      <c r="D22" s="78"/>
      <c r="E22" s="119">
        <f>'Classifica fino al 2508'!AZ20</f>
        <v>150.45400000000097</v>
      </c>
      <c r="F22" s="139"/>
      <c r="G22" s="139"/>
      <c r="H22" s="75"/>
      <c r="I22" s="76"/>
      <c r="J22" s="38"/>
      <c r="K22" s="74"/>
      <c r="L22" s="75">
        <v>5.05</v>
      </c>
      <c r="M22" s="76">
        <f>21.1*1.02</f>
        <v>21.522000000000002</v>
      </c>
      <c r="N22" s="83"/>
      <c r="O22" s="79"/>
      <c r="P22" s="74"/>
      <c r="Q22" s="79"/>
      <c r="R22" s="79"/>
      <c r="S22" s="74"/>
      <c r="T22" s="74"/>
      <c r="U22" s="76"/>
      <c r="V22" s="141"/>
      <c r="W22" s="74"/>
      <c r="X22" s="76"/>
      <c r="Y22" s="79"/>
      <c r="Z22" s="79"/>
      <c r="AA22" s="144" t="s">
        <v>197</v>
      </c>
      <c r="AB22" s="76">
        <v>4.8</v>
      </c>
      <c r="AC22" s="74"/>
      <c r="AD22" s="79"/>
      <c r="AE22" s="134">
        <f t="shared" si="0"/>
        <v>176.77600000000098</v>
      </c>
    </row>
    <row r="23" spans="2:31" ht="15">
      <c r="B23" s="152" t="s">
        <v>14</v>
      </c>
      <c r="C23" s="168" t="s">
        <v>68</v>
      </c>
      <c r="D23" s="78"/>
      <c r="E23" s="119">
        <f>'Classifica fino al 2508'!AZ25</f>
        <v>93.64999999999999</v>
      </c>
      <c r="F23" s="139"/>
      <c r="G23" s="139"/>
      <c r="H23" s="75">
        <v>6.23</v>
      </c>
      <c r="I23" s="76">
        <v>15</v>
      </c>
      <c r="J23" s="38"/>
      <c r="K23" s="74"/>
      <c r="L23" s="75">
        <v>6.07</v>
      </c>
      <c r="M23" s="76">
        <v>21.1</v>
      </c>
      <c r="N23" s="119" t="s">
        <v>197</v>
      </c>
      <c r="O23" s="79">
        <v>4</v>
      </c>
      <c r="P23" s="74"/>
      <c r="Q23" s="119"/>
      <c r="R23" s="79"/>
      <c r="S23" s="139" t="s">
        <v>197</v>
      </c>
      <c r="T23" s="74">
        <v>5</v>
      </c>
      <c r="U23" s="76"/>
      <c r="V23" s="76"/>
      <c r="W23" s="74"/>
      <c r="X23" s="76"/>
      <c r="Y23" s="79">
        <v>5.19</v>
      </c>
      <c r="Z23" s="79">
        <v>15</v>
      </c>
      <c r="AA23" s="76"/>
      <c r="AB23" s="76"/>
      <c r="AC23" s="74"/>
      <c r="AD23" s="79"/>
      <c r="AE23" s="134">
        <f t="shared" si="0"/>
        <v>153.75</v>
      </c>
    </row>
    <row r="24" spans="2:31" ht="15" customHeight="1">
      <c r="B24" s="152" t="s">
        <v>15</v>
      </c>
      <c r="C24" s="168" t="s">
        <v>61</v>
      </c>
      <c r="D24" s="78"/>
      <c r="E24" s="119">
        <f>'Classifica fino al 2508'!AZ22</f>
        <v>110.28000000000034</v>
      </c>
      <c r="F24" s="139"/>
      <c r="G24" s="139"/>
      <c r="H24" s="94"/>
      <c r="I24" s="94"/>
      <c r="J24" s="97"/>
      <c r="K24" s="97"/>
      <c r="L24" s="75"/>
      <c r="M24" s="76"/>
      <c r="N24" s="79"/>
      <c r="O24" s="79"/>
      <c r="P24" s="74"/>
      <c r="Q24" s="79"/>
      <c r="R24" s="79"/>
      <c r="S24" s="74">
        <v>3.45</v>
      </c>
      <c r="T24" s="74">
        <f>21.1*(LOOKUP(S24,Performance!$A$1:$A$123,Performance!$B$1:$B$123)+0.045)</f>
        <v>29.962000000000103</v>
      </c>
      <c r="U24" s="76"/>
      <c r="V24" s="76"/>
      <c r="W24" s="74"/>
      <c r="X24" s="76"/>
      <c r="Y24" s="79"/>
      <c r="Z24" s="79"/>
      <c r="AA24" s="144" t="s">
        <v>197</v>
      </c>
      <c r="AB24" s="76">
        <v>4.8</v>
      </c>
      <c r="AC24" s="74"/>
      <c r="AD24" s="79"/>
      <c r="AE24" s="134">
        <f t="shared" si="0"/>
        <v>145.04200000000046</v>
      </c>
    </row>
    <row r="25" spans="2:31" ht="15" customHeight="1">
      <c r="B25" s="152" t="s">
        <v>16</v>
      </c>
      <c r="C25" s="168" t="s">
        <v>78</v>
      </c>
      <c r="D25" s="78"/>
      <c r="E25" s="119">
        <f>'Classifica fino al 2508'!AZ31</f>
        <v>47.5885000000003</v>
      </c>
      <c r="F25" s="139"/>
      <c r="G25" s="139"/>
      <c r="H25" s="75"/>
      <c r="I25" s="76"/>
      <c r="J25" s="38"/>
      <c r="K25" s="74"/>
      <c r="L25" s="75">
        <v>5.06</v>
      </c>
      <c r="M25" s="76">
        <v>21.1</v>
      </c>
      <c r="N25" s="86"/>
      <c r="O25" s="79"/>
      <c r="P25" s="74"/>
      <c r="Q25" s="119"/>
      <c r="R25" s="79"/>
      <c r="S25" s="74">
        <v>4.27</v>
      </c>
      <c r="T25" s="74">
        <f>21.1*(LOOKUP(S25,Performance!$A$1:$A$123,Performance!$B$1:$B$123))</f>
        <v>24.5815000000002</v>
      </c>
      <c r="U25" s="76"/>
      <c r="V25" s="141"/>
      <c r="W25" s="74"/>
      <c r="X25" s="76"/>
      <c r="Y25" s="79"/>
      <c r="Z25" s="79"/>
      <c r="AA25" s="76">
        <v>5.49</v>
      </c>
      <c r="AB25" s="76">
        <f>42.2*LOOKUP(AA25,Performance!$E$1:$E$123,Performance!$F$1:$F$123)</f>
        <v>42.20000000000054</v>
      </c>
      <c r="AC25" s="74"/>
      <c r="AD25" s="79"/>
      <c r="AE25" s="134">
        <f t="shared" si="0"/>
        <v>135.47000000000105</v>
      </c>
    </row>
    <row r="26" spans="2:31" ht="15">
      <c r="B26" s="152" t="s">
        <v>17</v>
      </c>
      <c r="C26" s="168" t="s">
        <v>69</v>
      </c>
      <c r="D26" s="78"/>
      <c r="E26" s="119">
        <f>'Classifica fino al 2508'!AZ23</f>
        <v>97.0460000000004</v>
      </c>
      <c r="F26" s="139"/>
      <c r="G26" s="139"/>
      <c r="H26" s="75"/>
      <c r="I26" s="76"/>
      <c r="J26" s="38"/>
      <c r="K26" s="74"/>
      <c r="L26" s="75"/>
      <c r="M26" s="76"/>
      <c r="N26" s="119" t="s">
        <v>197</v>
      </c>
      <c r="O26" s="96">
        <v>5.95</v>
      </c>
      <c r="P26" s="74"/>
      <c r="Q26" s="119"/>
      <c r="R26" s="79"/>
      <c r="S26" s="139"/>
      <c r="T26" s="74"/>
      <c r="U26" s="76"/>
      <c r="V26" s="75"/>
      <c r="W26" s="74"/>
      <c r="X26" s="76"/>
      <c r="Y26" s="79">
        <v>5</v>
      </c>
      <c r="Z26" s="79">
        <f>15*(LOOKUP(Y26,Performance!$A$1:$A$123,Performance!$B$1:$B$123)+0.045)</f>
        <v>15.674999999999999</v>
      </c>
      <c r="AA26" s="144" t="s">
        <v>197</v>
      </c>
      <c r="AB26" s="76">
        <v>4.8</v>
      </c>
      <c r="AC26" s="74"/>
      <c r="AD26" s="79"/>
      <c r="AE26" s="134">
        <f t="shared" si="0"/>
        <v>123.4710000000004</v>
      </c>
    </row>
    <row r="27" spans="2:31" ht="15">
      <c r="B27" s="152" t="s">
        <v>18</v>
      </c>
      <c r="C27" s="168" t="s">
        <v>77</v>
      </c>
      <c r="D27" s="78"/>
      <c r="E27" s="119">
        <f>'Classifica fino al 2508'!AZ26</f>
        <v>91.6</v>
      </c>
      <c r="F27" s="139"/>
      <c r="G27" s="139"/>
      <c r="H27" s="75"/>
      <c r="I27" s="76"/>
      <c r="J27" s="38"/>
      <c r="K27" s="74"/>
      <c r="L27" s="75"/>
      <c r="M27" s="76"/>
      <c r="N27" s="78"/>
      <c r="O27" s="79"/>
      <c r="P27" s="74"/>
      <c r="Q27" s="119"/>
      <c r="R27" s="79"/>
      <c r="S27" s="139"/>
      <c r="T27" s="74"/>
      <c r="U27" s="76"/>
      <c r="V27" s="75"/>
      <c r="W27" s="74"/>
      <c r="X27" s="76"/>
      <c r="Y27" s="79">
        <v>5.34</v>
      </c>
      <c r="Z27" s="79">
        <v>15</v>
      </c>
      <c r="AA27" s="144" t="s">
        <v>197</v>
      </c>
      <c r="AB27" s="76">
        <v>4.8</v>
      </c>
      <c r="AC27" s="74"/>
      <c r="AD27" s="79"/>
      <c r="AE27" s="134">
        <f t="shared" si="0"/>
        <v>111.39999999999999</v>
      </c>
    </row>
    <row r="28" spans="2:31" ht="15">
      <c r="B28" s="152" t="s">
        <v>19</v>
      </c>
      <c r="C28" s="168" t="s">
        <v>146</v>
      </c>
      <c r="D28" s="78"/>
      <c r="E28" s="119">
        <f>'Classifica fino al 2508'!AZ33</f>
        <v>38.15</v>
      </c>
      <c r="F28" s="139"/>
      <c r="G28" s="139"/>
      <c r="H28" s="75">
        <v>6.49</v>
      </c>
      <c r="I28" s="76">
        <v>12</v>
      </c>
      <c r="J28" s="38">
        <v>7.01</v>
      </c>
      <c r="K28" s="74">
        <v>10</v>
      </c>
      <c r="L28" s="146" t="s">
        <v>197</v>
      </c>
      <c r="M28" s="76">
        <v>5</v>
      </c>
      <c r="N28" s="119" t="s">
        <v>197</v>
      </c>
      <c r="O28" s="96">
        <v>5.95</v>
      </c>
      <c r="P28" s="74">
        <v>5.5</v>
      </c>
      <c r="Q28" s="154" t="s">
        <v>197</v>
      </c>
      <c r="R28" s="79">
        <v>6</v>
      </c>
      <c r="S28" s="164"/>
      <c r="T28" s="74"/>
      <c r="U28" s="75">
        <v>6.06</v>
      </c>
      <c r="V28" s="142">
        <v>14</v>
      </c>
      <c r="W28" s="74"/>
      <c r="X28" s="76"/>
      <c r="Y28" s="79"/>
      <c r="Z28" s="79"/>
      <c r="AA28" s="144" t="s">
        <v>197</v>
      </c>
      <c r="AB28" s="76">
        <v>4.8</v>
      </c>
      <c r="AC28" s="74">
        <v>5</v>
      </c>
      <c r="AD28" s="79"/>
      <c r="AE28" s="134">
        <f t="shared" si="0"/>
        <v>106.4</v>
      </c>
    </row>
    <row r="29" spans="2:31" ht="15">
      <c r="B29" s="152" t="s">
        <v>20</v>
      </c>
      <c r="C29" s="168" t="s">
        <v>178</v>
      </c>
      <c r="D29" s="78"/>
      <c r="E29" s="119">
        <f>'Classifica fino al 2508'!AZ29</f>
        <v>54.36000000000037</v>
      </c>
      <c r="F29" s="139"/>
      <c r="G29" s="139"/>
      <c r="H29" s="75">
        <v>5.13</v>
      </c>
      <c r="I29" s="76">
        <f>15*LOOKUP(H29,Performance!$A$1:$A$123,Performance!$B$1:$B$123)</f>
        <v>15</v>
      </c>
      <c r="J29" s="38">
        <v>4.35</v>
      </c>
      <c r="K29" s="74">
        <f>10*LOOKUP(J29,Performance!$A$1:$A$123,Performance!$B$1:$B$123)</f>
        <v>11.250000000000103</v>
      </c>
      <c r="L29" s="146" t="s">
        <v>197</v>
      </c>
      <c r="M29" s="76">
        <v>5</v>
      </c>
      <c r="N29" s="119" t="s">
        <v>197</v>
      </c>
      <c r="O29" s="96">
        <v>5.95</v>
      </c>
      <c r="P29" s="74">
        <v>5.5</v>
      </c>
      <c r="Q29" s="119" t="s">
        <v>197</v>
      </c>
      <c r="R29" s="79">
        <v>6</v>
      </c>
      <c r="S29" s="139"/>
      <c r="T29" s="74"/>
      <c r="U29" s="76"/>
      <c r="V29" s="75"/>
      <c r="W29" s="74"/>
      <c r="X29" s="76"/>
      <c r="Y29" s="79"/>
      <c r="Z29" s="79"/>
      <c r="AA29" s="76"/>
      <c r="AB29" s="76"/>
      <c r="AC29" s="74"/>
      <c r="AD29" s="79"/>
      <c r="AE29" s="134">
        <f t="shared" si="0"/>
        <v>103.06000000000047</v>
      </c>
    </row>
    <row r="30" spans="2:31" ht="15">
      <c r="B30" s="152" t="s">
        <v>21</v>
      </c>
      <c r="C30" s="168" t="s">
        <v>118</v>
      </c>
      <c r="D30" s="78"/>
      <c r="E30" s="119">
        <f>'Classifica fino al 2508'!AZ30</f>
        <v>53.000000000000114</v>
      </c>
      <c r="F30" s="139"/>
      <c r="G30" s="139"/>
      <c r="H30" s="75"/>
      <c r="I30" s="76"/>
      <c r="J30" s="38"/>
      <c r="K30" s="74"/>
      <c r="L30" s="75">
        <v>5.27</v>
      </c>
      <c r="M30" s="76">
        <v>21.1</v>
      </c>
      <c r="N30" s="79"/>
      <c r="O30" s="79"/>
      <c r="P30" s="74"/>
      <c r="Q30" s="119"/>
      <c r="R30" s="79"/>
      <c r="S30" s="139"/>
      <c r="T30" s="74"/>
      <c r="U30" s="76"/>
      <c r="V30" s="141"/>
      <c r="W30" s="74"/>
      <c r="X30" s="76"/>
      <c r="Y30" s="79">
        <v>4.59</v>
      </c>
      <c r="Z30" s="79">
        <v>15</v>
      </c>
      <c r="AA30" s="144" t="s">
        <v>197</v>
      </c>
      <c r="AB30" s="76">
        <v>4.8</v>
      </c>
      <c r="AC30" s="74">
        <v>5</v>
      </c>
      <c r="AD30" s="79"/>
      <c r="AE30" s="134">
        <f t="shared" si="0"/>
        <v>98.9000000000001</v>
      </c>
    </row>
    <row r="31" spans="2:31" ht="15">
      <c r="B31" s="152" t="s">
        <v>22</v>
      </c>
      <c r="C31" s="168" t="s">
        <v>71</v>
      </c>
      <c r="D31" s="78"/>
      <c r="E31" s="119">
        <f>'Classifica fino al 2508'!AZ27</f>
        <v>69.73650000000048</v>
      </c>
      <c r="F31" s="139"/>
      <c r="G31" s="139"/>
      <c r="H31" s="75"/>
      <c r="I31" s="76"/>
      <c r="J31" s="38"/>
      <c r="K31" s="74"/>
      <c r="L31" s="75"/>
      <c r="M31" s="76"/>
      <c r="N31" s="79"/>
      <c r="O31" s="79"/>
      <c r="P31" s="74"/>
      <c r="Q31" s="154" t="s">
        <v>197</v>
      </c>
      <c r="R31" s="79">
        <v>6</v>
      </c>
      <c r="S31" s="164"/>
      <c r="T31" s="74"/>
      <c r="U31" s="76"/>
      <c r="V31" s="141"/>
      <c r="W31" s="74"/>
      <c r="X31" s="76"/>
      <c r="Y31" s="79">
        <v>4.45</v>
      </c>
      <c r="Z31" s="79">
        <f>15*(LOOKUP(Y31,Performance!$A$1:$A$123,Performance!$B$1:$B$123))</f>
        <v>16.12500000000017</v>
      </c>
      <c r="AA31" s="144" t="s">
        <v>197</v>
      </c>
      <c r="AB31" s="76">
        <v>4.8</v>
      </c>
      <c r="AC31" s="74"/>
      <c r="AD31" s="79"/>
      <c r="AE31" s="134">
        <f t="shared" si="0"/>
        <v>96.66150000000064</v>
      </c>
    </row>
    <row r="32" spans="2:31" ht="15">
      <c r="B32" s="152" t="s">
        <v>23</v>
      </c>
      <c r="C32" s="168" t="s">
        <v>144</v>
      </c>
      <c r="D32" s="78"/>
      <c r="E32" s="119">
        <f>'Classifica fino al 2508'!AZ28</f>
        <v>63.8600000000001</v>
      </c>
      <c r="F32" s="139"/>
      <c r="G32" s="139"/>
      <c r="H32" s="75"/>
      <c r="I32" s="76"/>
      <c r="J32" s="38"/>
      <c r="K32" s="74"/>
      <c r="L32" s="146" t="s">
        <v>197</v>
      </c>
      <c r="M32" s="76">
        <v>5</v>
      </c>
      <c r="N32" s="119" t="s">
        <v>197</v>
      </c>
      <c r="O32" s="96">
        <v>5.95</v>
      </c>
      <c r="P32" s="74">
        <v>5.5</v>
      </c>
      <c r="Q32" s="119"/>
      <c r="R32" s="79"/>
      <c r="S32" s="139" t="s">
        <v>197</v>
      </c>
      <c r="T32" s="74">
        <v>5</v>
      </c>
      <c r="U32" s="76"/>
      <c r="V32" s="76"/>
      <c r="W32" s="74"/>
      <c r="X32" s="76"/>
      <c r="Y32" s="79"/>
      <c r="Z32" s="79"/>
      <c r="AA32" s="144" t="s">
        <v>197</v>
      </c>
      <c r="AB32" s="76">
        <v>4.8</v>
      </c>
      <c r="AC32" s="74">
        <v>5</v>
      </c>
      <c r="AD32" s="79"/>
      <c r="AE32" s="134">
        <f t="shared" si="0"/>
        <v>95.1100000000001</v>
      </c>
    </row>
    <row r="33" spans="2:31" ht="15">
      <c r="B33" s="152" t="s">
        <v>24</v>
      </c>
      <c r="C33" s="168" t="s">
        <v>153</v>
      </c>
      <c r="D33" s="78"/>
      <c r="E33" s="119">
        <f>'Classifica fino al 2508'!AZ35</f>
        <v>34.95</v>
      </c>
      <c r="F33" s="139"/>
      <c r="G33" s="139"/>
      <c r="H33" s="75">
        <v>6.1</v>
      </c>
      <c r="I33" s="76">
        <v>15</v>
      </c>
      <c r="J33" s="38">
        <v>5.43</v>
      </c>
      <c r="K33" s="74">
        <v>10</v>
      </c>
      <c r="L33" s="75"/>
      <c r="M33" s="76"/>
      <c r="N33" s="119" t="s">
        <v>197</v>
      </c>
      <c r="O33" s="96">
        <v>5.95</v>
      </c>
      <c r="P33" s="74"/>
      <c r="Q33" s="119"/>
      <c r="R33" s="79"/>
      <c r="S33" s="139"/>
      <c r="T33" s="74"/>
      <c r="U33" s="75">
        <v>5.41</v>
      </c>
      <c r="V33" s="76">
        <v>14</v>
      </c>
      <c r="W33" s="74"/>
      <c r="X33" s="76"/>
      <c r="Y33" s="79"/>
      <c r="Z33" s="79"/>
      <c r="AA33" s="144" t="s">
        <v>197</v>
      </c>
      <c r="AB33" s="76">
        <v>4.8</v>
      </c>
      <c r="AC33" s="74">
        <v>5</v>
      </c>
      <c r="AD33" s="79"/>
      <c r="AE33" s="134">
        <f t="shared" si="0"/>
        <v>89.7</v>
      </c>
    </row>
    <row r="34" spans="2:31" ht="15.75" customHeight="1">
      <c r="B34" s="152" t="s">
        <v>25</v>
      </c>
      <c r="C34" s="168" t="s">
        <v>129</v>
      </c>
      <c r="D34" s="95"/>
      <c r="E34" s="119">
        <f>'Classifica fino al 2508'!AZ36</f>
        <v>34.5</v>
      </c>
      <c r="F34" s="139"/>
      <c r="G34" s="139"/>
      <c r="H34" s="94">
        <v>5.15</v>
      </c>
      <c r="I34" s="76">
        <v>12.18</v>
      </c>
      <c r="J34" s="97"/>
      <c r="K34" s="74"/>
      <c r="L34" s="94">
        <v>6.04</v>
      </c>
      <c r="M34" s="76">
        <v>21.1</v>
      </c>
      <c r="N34" s="92"/>
      <c r="O34" s="93"/>
      <c r="P34" s="151"/>
      <c r="Q34" s="154" t="s">
        <v>197</v>
      </c>
      <c r="R34" s="79">
        <v>6</v>
      </c>
      <c r="S34" s="164"/>
      <c r="T34" s="74"/>
      <c r="U34" s="94">
        <v>5.09</v>
      </c>
      <c r="V34" s="76">
        <f>1.045*14</f>
        <v>14.629999999999999</v>
      </c>
      <c r="W34" s="151"/>
      <c r="X34" s="94"/>
      <c r="Y34" s="95"/>
      <c r="Z34" s="95"/>
      <c r="AA34" s="94"/>
      <c r="AB34" s="94"/>
      <c r="AC34" s="97"/>
      <c r="AD34" s="95"/>
      <c r="AE34" s="134">
        <f t="shared" si="0"/>
        <v>88.41</v>
      </c>
    </row>
    <row r="35" spans="2:31" ht="15">
      <c r="B35" s="152" t="s">
        <v>26</v>
      </c>
      <c r="C35" s="168" t="s">
        <v>119</v>
      </c>
      <c r="D35" s="78"/>
      <c r="E35" s="119">
        <f>'Classifica fino al 2508'!AZ37</f>
        <v>25.75</v>
      </c>
      <c r="F35" s="139"/>
      <c r="G35" s="139"/>
      <c r="H35" s="75">
        <v>5.28</v>
      </c>
      <c r="I35" s="76">
        <v>12</v>
      </c>
      <c r="J35" s="38"/>
      <c r="K35" s="74"/>
      <c r="L35" s="75">
        <v>5.27</v>
      </c>
      <c r="M35" s="76">
        <v>21.1</v>
      </c>
      <c r="N35" s="79"/>
      <c r="O35" s="79"/>
      <c r="P35" s="74"/>
      <c r="Q35" s="119"/>
      <c r="R35" s="79"/>
      <c r="S35" s="139"/>
      <c r="T35" s="74"/>
      <c r="U35" s="76"/>
      <c r="V35" s="76"/>
      <c r="W35" s="74"/>
      <c r="X35" s="76"/>
      <c r="Y35" s="79">
        <v>4.58</v>
      </c>
      <c r="Z35" s="79">
        <v>15</v>
      </c>
      <c r="AA35" s="76"/>
      <c r="AB35" s="76"/>
      <c r="AC35" s="74">
        <v>5</v>
      </c>
      <c r="AD35" s="79"/>
      <c r="AE35" s="134">
        <f t="shared" si="0"/>
        <v>78.85</v>
      </c>
    </row>
    <row r="36" spans="2:31" ht="15">
      <c r="B36" s="152" t="s">
        <v>99</v>
      </c>
      <c r="C36" s="168" t="s">
        <v>90</v>
      </c>
      <c r="D36" s="78"/>
      <c r="E36" s="119">
        <f>'Classifica fino al 2508'!AZ38</f>
        <v>20</v>
      </c>
      <c r="F36" s="139"/>
      <c r="G36" s="139"/>
      <c r="H36" s="75"/>
      <c r="I36" s="76"/>
      <c r="J36" s="38" t="s">
        <v>194</v>
      </c>
      <c r="K36" s="74">
        <v>5</v>
      </c>
      <c r="L36" s="146" t="s">
        <v>197</v>
      </c>
      <c r="M36" s="76">
        <v>5</v>
      </c>
      <c r="N36" s="119" t="s">
        <v>197</v>
      </c>
      <c r="O36" s="96">
        <v>5.95</v>
      </c>
      <c r="P36" s="74"/>
      <c r="Q36" s="154" t="s">
        <v>197</v>
      </c>
      <c r="R36" s="79">
        <v>6</v>
      </c>
      <c r="S36" s="164" t="s">
        <v>197</v>
      </c>
      <c r="T36" s="74">
        <v>5</v>
      </c>
      <c r="U36" s="76"/>
      <c r="V36" s="142"/>
      <c r="W36" s="74"/>
      <c r="X36" s="76"/>
      <c r="Y36" s="79"/>
      <c r="Z36" s="79"/>
      <c r="AA36" s="144" t="s">
        <v>197</v>
      </c>
      <c r="AB36" s="76">
        <v>4.8</v>
      </c>
      <c r="AC36" s="74">
        <v>5</v>
      </c>
      <c r="AD36" s="79"/>
      <c r="AE36" s="134">
        <f t="shared" si="0"/>
        <v>56.75</v>
      </c>
    </row>
    <row r="37" spans="2:31" ht="15">
      <c r="B37" s="152" t="s">
        <v>100</v>
      </c>
      <c r="C37" s="168" t="s">
        <v>104</v>
      </c>
      <c r="D37" s="95"/>
      <c r="E37" s="119">
        <f>'Classifica fino al 2508'!AZ32</f>
        <v>46.85</v>
      </c>
      <c r="F37" s="139"/>
      <c r="G37" s="139"/>
      <c r="H37" s="94"/>
      <c r="I37" s="94"/>
      <c r="J37" s="97"/>
      <c r="K37" s="97"/>
      <c r="L37" s="94"/>
      <c r="M37" s="94"/>
      <c r="N37" s="92"/>
      <c r="O37" s="93"/>
      <c r="P37" s="150"/>
      <c r="Q37" s="155"/>
      <c r="R37" s="79"/>
      <c r="S37" s="165"/>
      <c r="T37" s="74"/>
      <c r="U37" s="94"/>
      <c r="V37" s="163"/>
      <c r="W37" s="151"/>
      <c r="X37" s="94"/>
      <c r="Y37" s="95"/>
      <c r="Z37" s="95"/>
      <c r="AA37" s="94"/>
      <c r="AB37" s="94"/>
      <c r="AC37" s="97"/>
      <c r="AD37" s="95"/>
      <c r="AE37" s="134">
        <f t="shared" si="0"/>
        <v>46.85</v>
      </c>
    </row>
    <row r="38" spans="2:31" ht="15">
      <c r="B38" s="152" t="s">
        <v>101</v>
      </c>
      <c r="C38" s="168" t="s">
        <v>201</v>
      </c>
      <c r="D38" s="95"/>
      <c r="E38" s="119">
        <v>0</v>
      </c>
      <c r="N38" s="119" t="s">
        <v>197</v>
      </c>
      <c r="O38" s="96">
        <v>5.95</v>
      </c>
      <c r="P38" s="8"/>
      <c r="Q38" s="154" t="s">
        <v>197</v>
      </c>
      <c r="R38" s="79">
        <v>6</v>
      </c>
      <c r="S38" s="164"/>
      <c r="T38" s="74"/>
      <c r="U38" s="94">
        <v>5.08</v>
      </c>
      <c r="V38" s="76">
        <v>14</v>
      </c>
      <c r="W38" s="8"/>
      <c r="X38" s="94"/>
      <c r="Y38" s="79">
        <v>5.08</v>
      </c>
      <c r="Z38" s="79">
        <v>15</v>
      </c>
      <c r="AA38" s="144" t="s">
        <v>197</v>
      </c>
      <c r="AB38" s="76">
        <v>4.8</v>
      </c>
      <c r="AC38" s="74"/>
      <c r="AD38" s="95"/>
      <c r="AE38" s="134">
        <f t="shared" si="0"/>
        <v>45.75</v>
      </c>
    </row>
    <row r="39" spans="2:31" ht="15">
      <c r="B39" s="152" t="s">
        <v>102</v>
      </c>
      <c r="C39" s="168" t="s">
        <v>75</v>
      </c>
      <c r="D39" s="78"/>
      <c r="E39" s="119">
        <f>'Classifica fino al 2508'!AZ34</f>
        <v>37.084000000000295</v>
      </c>
      <c r="F39" s="139"/>
      <c r="G39" s="139"/>
      <c r="H39" s="75"/>
      <c r="I39" s="76"/>
      <c r="J39" s="38"/>
      <c r="K39" s="74"/>
      <c r="L39" s="75"/>
      <c r="M39" s="76"/>
      <c r="N39" s="79"/>
      <c r="O39" s="79"/>
      <c r="P39" s="74"/>
      <c r="Q39" s="119"/>
      <c r="R39" s="79"/>
      <c r="S39" s="139"/>
      <c r="T39" s="74"/>
      <c r="U39" s="76"/>
      <c r="V39" s="76"/>
      <c r="W39" s="74"/>
      <c r="X39" s="76"/>
      <c r="Y39" s="79"/>
      <c r="Z39" s="79"/>
      <c r="AA39" s="76"/>
      <c r="AB39" s="76"/>
      <c r="AC39" s="74"/>
      <c r="AD39" s="79"/>
      <c r="AE39" s="134">
        <f t="shared" si="0"/>
        <v>37.084000000000295</v>
      </c>
    </row>
    <row r="40" spans="2:31" ht="15" customHeight="1">
      <c r="B40" s="152" t="s">
        <v>103</v>
      </c>
      <c r="C40" s="168" t="s">
        <v>72</v>
      </c>
      <c r="D40" s="78"/>
      <c r="E40" s="119">
        <f>'Classifica fino al 2508'!AZ39</f>
        <v>10.5</v>
      </c>
      <c r="F40" s="140">
        <v>4.1</v>
      </c>
      <c r="G40" s="74">
        <f>6.6*(LOOKUP(F40,Performance!$A$1:$A$123,Performance!$B$1:$B$123)+0.045)</f>
        <v>8.547000000000049</v>
      </c>
      <c r="H40" s="75">
        <v>4.05</v>
      </c>
      <c r="I40" s="76">
        <f>12*(LOOKUP(H40,Performance!$A$1:$A$123,Performance!$B$1:$B$123)+0.045)</f>
        <v>15.840000000000083</v>
      </c>
      <c r="J40" s="38"/>
      <c r="K40" s="74"/>
      <c r="L40" s="75"/>
      <c r="M40" s="76"/>
      <c r="N40" s="79"/>
      <c r="O40" s="79"/>
      <c r="P40" s="74"/>
      <c r="Q40" s="119"/>
      <c r="R40" s="79"/>
      <c r="S40" s="139"/>
      <c r="T40" s="74"/>
      <c r="U40" s="76"/>
      <c r="V40" s="76"/>
      <c r="W40" s="74"/>
      <c r="X40" s="76"/>
      <c r="Y40" s="79"/>
      <c r="Z40" s="79"/>
      <c r="AA40" s="76"/>
      <c r="AB40" s="76"/>
      <c r="AC40" s="74"/>
      <c r="AD40" s="79"/>
      <c r="AE40" s="134">
        <f t="shared" si="0"/>
        <v>34.88700000000013</v>
      </c>
    </row>
    <row r="41" spans="2:31" ht="15" customHeight="1">
      <c r="B41" s="152" t="s">
        <v>202</v>
      </c>
      <c r="C41" s="168" t="s">
        <v>203</v>
      </c>
      <c r="D41" s="95"/>
      <c r="E41" s="119">
        <v>0</v>
      </c>
      <c r="N41" s="95"/>
      <c r="O41" s="96"/>
      <c r="P41" s="153">
        <v>5.5</v>
      </c>
      <c r="Q41" s="154" t="s">
        <v>197</v>
      </c>
      <c r="R41" s="79">
        <v>6</v>
      </c>
      <c r="S41" s="164"/>
      <c r="T41" s="74"/>
      <c r="U41" s="94"/>
      <c r="V41" s="94"/>
      <c r="W41" s="8"/>
      <c r="X41" s="94"/>
      <c r="Y41" s="95"/>
      <c r="Z41" s="95"/>
      <c r="AA41" s="175" t="s">
        <v>197</v>
      </c>
      <c r="AB41" s="76">
        <v>4.8</v>
      </c>
      <c r="AC41" s="74"/>
      <c r="AD41" s="95"/>
      <c r="AE41" s="134">
        <f t="shared" si="0"/>
        <v>16.3</v>
      </c>
    </row>
    <row r="42" spans="2:31" ht="15" customHeight="1">
      <c r="B42" s="152"/>
      <c r="C42" s="6"/>
      <c r="D42" s="97"/>
      <c r="E42" s="139"/>
      <c r="F42" s="97"/>
      <c r="G42" s="97"/>
      <c r="N42" s="97"/>
      <c r="O42" s="150"/>
      <c r="P42" s="8"/>
      <c r="Q42" s="8"/>
      <c r="R42" s="74"/>
      <c r="S42" s="8"/>
      <c r="T42" s="74"/>
      <c r="U42" s="97"/>
      <c r="V42" s="97"/>
      <c r="W42" s="8"/>
      <c r="X42" s="97"/>
      <c r="AE42" s="134">
        <f>E42+G42+I42+K42+M42+O42+P42+R42+T42+V42+W42</f>
        <v>0</v>
      </c>
    </row>
    <row r="43" spans="2:31" ht="12.75">
      <c r="B43" s="6" t="s">
        <v>0</v>
      </c>
      <c r="C43" s="82" t="s">
        <v>88</v>
      </c>
      <c r="AE43" s="133"/>
    </row>
    <row r="44" spans="3:31" ht="12.75">
      <c r="C44" s="27" t="s">
        <v>84</v>
      </c>
      <c r="AE44" s="133"/>
    </row>
    <row r="45" spans="3:31" ht="12.75">
      <c r="C45" s="27" t="s">
        <v>43</v>
      </c>
      <c r="AE45" s="133"/>
    </row>
    <row r="46" spans="3:31" ht="12.75">
      <c r="C46" s="27" t="s">
        <v>44</v>
      </c>
      <c r="AE46" s="133"/>
    </row>
    <row r="47" spans="2:31" ht="7.5" customHeight="1" thickBot="1">
      <c r="B47" s="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35"/>
    </row>
    <row r="48" spans="2:31" ht="12.75">
      <c r="B48" s="28"/>
      <c r="C48" s="29"/>
      <c r="D48" s="63"/>
      <c r="E48" s="63"/>
      <c r="F48" s="63"/>
      <c r="G48" s="63"/>
      <c r="H48" s="63"/>
      <c r="I48" s="63"/>
      <c r="J48" s="63"/>
      <c r="K48" s="29"/>
      <c r="L48" s="63"/>
      <c r="M48" s="63"/>
      <c r="N48" s="63"/>
      <c r="O48" s="29"/>
      <c r="P48" s="29"/>
      <c r="Q48" s="29"/>
      <c r="R48" s="29"/>
      <c r="S48" s="63"/>
      <c r="T48" s="63"/>
      <c r="U48" s="63"/>
      <c r="V48" s="63"/>
      <c r="W48" s="29"/>
      <c r="X48" s="63"/>
      <c r="Y48" s="63"/>
      <c r="Z48" s="63"/>
      <c r="AA48" s="63"/>
      <c r="AB48" s="63"/>
      <c r="AC48" s="63"/>
      <c r="AD48" s="63"/>
      <c r="AE48" s="136"/>
    </row>
    <row r="49" spans="2:31" ht="12.75">
      <c r="B49" s="42" t="s">
        <v>49</v>
      </c>
      <c r="C49" s="32"/>
      <c r="D49" s="23"/>
      <c r="E49" s="23"/>
      <c r="F49" s="23"/>
      <c r="G49" s="23"/>
      <c r="H49" s="23"/>
      <c r="I49" s="23"/>
      <c r="J49" s="23"/>
      <c r="K49" s="32"/>
      <c r="L49" s="23"/>
      <c r="M49" s="23"/>
      <c r="N49" s="23"/>
      <c r="O49" s="32"/>
      <c r="P49" s="32"/>
      <c r="Q49" s="32"/>
      <c r="R49" s="32"/>
      <c r="S49" s="23"/>
      <c r="T49" s="23"/>
      <c r="U49" s="23"/>
      <c r="V49" s="23"/>
      <c r="W49" s="32"/>
      <c r="X49" s="23"/>
      <c r="Y49" s="23"/>
      <c r="Z49" s="23"/>
      <c r="AA49" s="23"/>
      <c r="AB49" s="23"/>
      <c r="AC49" s="23"/>
      <c r="AD49" s="23"/>
      <c r="AE49" s="137"/>
    </row>
    <row r="50" spans="2:33" ht="12.75">
      <c r="B50" s="31" t="s">
        <v>45</v>
      </c>
      <c r="C50" s="32"/>
      <c r="D50" s="23"/>
      <c r="E50" s="23"/>
      <c r="F50" s="23"/>
      <c r="G50" s="23"/>
      <c r="H50" s="23"/>
      <c r="I50" s="23"/>
      <c r="J50" s="23"/>
      <c r="K50" s="32"/>
      <c r="L50" s="23"/>
      <c r="M50" s="23"/>
      <c r="N50" s="23"/>
      <c r="O50" s="32"/>
      <c r="P50" s="32"/>
      <c r="Q50" s="32"/>
      <c r="R50" s="32"/>
      <c r="S50" s="23"/>
      <c r="T50" s="23"/>
      <c r="U50" s="23"/>
      <c r="V50" s="23"/>
      <c r="W50" s="32"/>
      <c r="X50" s="23"/>
      <c r="Y50" s="23"/>
      <c r="Z50" s="23"/>
      <c r="AA50" s="23"/>
      <c r="AB50" s="23"/>
      <c r="AC50" s="23"/>
      <c r="AD50" s="23"/>
      <c r="AE50" s="137"/>
      <c r="AG50" s="32"/>
    </row>
    <row r="51" spans="2:33" ht="13.5" thickBot="1">
      <c r="B51" s="34"/>
      <c r="C51" s="35"/>
      <c r="D51" s="64"/>
      <c r="E51" s="64"/>
      <c r="F51" s="64"/>
      <c r="G51" s="64"/>
      <c r="H51" s="64"/>
      <c r="I51" s="64"/>
      <c r="J51" s="64"/>
      <c r="K51" s="35"/>
      <c r="L51" s="64"/>
      <c r="M51" s="64"/>
      <c r="N51" s="64"/>
      <c r="O51" s="35"/>
      <c r="P51" s="35"/>
      <c r="Q51" s="35"/>
      <c r="R51" s="35"/>
      <c r="S51" s="64"/>
      <c r="T51" s="64"/>
      <c r="U51" s="64"/>
      <c r="V51" s="64"/>
      <c r="W51" s="35"/>
      <c r="X51" s="64"/>
      <c r="Y51" s="64"/>
      <c r="Z51" s="64"/>
      <c r="AA51" s="64"/>
      <c r="AB51" s="64"/>
      <c r="AC51" s="64"/>
      <c r="AD51" s="64"/>
      <c r="AE51" s="138"/>
      <c r="AG51" s="32"/>
    </row>
    <row r="52" spans="2:31" ht="7.5" customHeight="1" thickBot="1">
      <c r="B52" s="196"/>
      <c r="C52" s="135"/>
      <c r="D52" s="197"/>
      <c r="E52" s="197"/>
      <c r="F52" s="197"/>
      <c r="G52" s="197"/>
      <c r="H52" s="197"/>
      <c r="I52" s="197"/>
      <c r="J52" s="197"/>
      <c r="K52" s="135"/>
      <c r="L52" s="197"/>
      <c r="M52" s="197"/>
      <c r="N52" s="197"/>
      <c r="O52" s="135"/>
      <c r="P52" s="135"/>
      <c r="Q52" s="135"/>
      <c r="R52" s="135"/>
      <c r="S52" s="197"/>
      <c r="T52" s="197"/>
      <c r="U52" s="197"/>
      <c r="V52" s="197"/>
      <c r="W52" s="135"/>
      <c r="X52" s="197"/>
      <c r="Y52" s="197"/>
      <c r="Z52" s="197"/>
      <c r="AA52" s="197"/>
      <c r="AB52" s="197"/>
      <c r="AC52" s="197"/>
      <c r="AD52" s="197"/>
      <c r="AE52" s="137"/>
    </row>
    <row r="53" spans="2:31" ht="15.75">
      <c r="B53" s="176" t="s">
        <v>51</v>
      </c>
      <c r="C53" s="177" t="s">
        <v>50</v>
      </c>
      <c r="D53" s="178"/>
      <c r="E53" s="178"/>
      <c r="F53" s="178"/>
      <c r="G53" s="178"/>
      <c r="H53" s="178"/>
      <c r="I53" s="178"/>
      <c r="J53" s="178"/>
      <c r="K53" s="177"/>
      <c r="L53" s="178"/>
      <c r="M53" s="178"/>
      <c r="N53" s="178"/>
      <c r="O53" s="177"/>
      <c r="P53" s="177"/>
      <c r="Q53" s="177"/>
      <c r="R53" s="177"/>
      <c r="S53" s="178"/>
      <c r="T53" s="178"/>
      <c r="U53" s="178"/>
      <c r="V53" s="178"/>
      <c r="W53" s="177"/>
      <c r="X53" s="178"/>
      <c r="Y53" s="178"/>
      <c r="Z53" s="178"/>
      <c r="AA53" s="178"/>
      <c r="AB53" s="178"/>
      <c r="AC53" s="178"/>
      <c r="AD53" s="178"/>
      <c r="AE53" s="179"/>
    </row>
    <row r="54" spans="2:31" ht="15.75" thickBot="1">
      <c r="B54" s="180" t="s">
        <v>54</v>
      </c>
      <c r="C54" s="181" t="s">
        <v>52</v>
      </c>
      <c r="D54" s="182"/>
      <c r="E54" s="182"/>
      <c r="F54" s="182"/>
      <c r="G54" s="182"/>
      <c r="H54" s="182"/>
      <c r="I54" s="182"/>
      <c r="J54" s="182"/>
      <c r="K54" s="183"/>
      <c r="L54" s="182"/>
      <c r="M54" s="182"/>
      <c r="N54" s="182"/>
      <c r="O54" s="183"/>
      <c r="P54" s="183"/>
      <c r="Q54" s="183"/>
      <c r="R54" s="183"/>
      <c r="S54" s="182"/>
      <c r="T54" s="182"/>
      <c r="U54" s="182"/>
      <c r="V54" s="182"/>
      <c r="W54" s="183"/>
      <c r="X54" s="182"/>
      <c r="Y54" s="182"/>
      <c r="Z54" s="182"/>
      <c r="AA54" s="182"/>
      <c r="AB54" s="182"/>
      <c r="AC54" s="182"/>
      <c r="AD54" s="182"/>
      <c r="AE54" s="184"/>
    </row>
    <row r="55" spans="2:31" ht="16.5" thickBot="1" thickTop="1">
      <c r="B55" s="185" t="s">
        <v>55</v>
      </c>
      <c r="C55" s="183" t="s">
        <v>48</v>
      </c>
      <c r="D55" s="182"/>
      <c r="E55" s="182"/>
      <c r="F55" s="182"/>
      <c r="G55" s="182"/>
      <c r="H55" s="182"/>
      <c r="I55" s="182"/>
      <c r="J55" s="182"/>
      <c r="K55" s="183"/>
      <c r="L55" s="182"/>
      <c r="M55" s="182"/>
      <c r="N55" s="182"/>
      <c r="O55" s="183"/>
      <c r="P55" s="183"/>
      <c r="Q55" s="183"/>
      <c r="R55" s="183"/>
      <c r="S55" s="182"/>
      <c r="T55" s="182"/>
      <c r="U55" s="182"/>
      <c r="V55" s="182"/>
      <c r="W55" s="183"/>
      <c r="X55" s="182"/>
      <c r="Y55" s="182"/>
      <c r="Z55" s="182"/>
      <c r="AA55" s="182"/>
      <c r="AB55" s="182"/>
      <c r="AC55" s="182"/>
      <c r="AD55" s="182"/>
      <c r="AE55" s="184"/>
    </row>
    <row r="56" spans="2:31" ht="16.5" thickBot="1" thickTop="1">
      <c r="B56" s="186" t="s">
        <v>56</v>
      </c>
      <c r="C56" s="183" t="s">
        <v>46</v>
      </c>
      <c r="D56" s="182"/>
      <c r="E56" s="182"/>
      <c r="F56" s="182"/>
      <c r="G56" s="182"/>
      <c r="H56" s="182"/>
      <c r="I56" s="182"/>
      <c r="J56" s="182"/>
      <c r="K56" s="183"/>
      <c r="L56" s="182"/>
      <c r="M56" s="182"/>
      <c r="N56" s="182"/>
      <c r="O56" s="183"/>
      <c r="P56" s="183"/>
      <c r="Q56" s="183"/>
      <c r="R56" s="183"/>
      <c r="S56" s="182"/>
      <c r="T56" s="182"/>
      <c r="U56" s="182"/>
      <c r="V56" s="182"/>
      <c r="W56" s="183"/>
      <c r="X56" s="182"/>
      <c r="Y56" s="182"/>
      <c r="Z56" s="182"/>
      <c r="AA56" s="182"/>
      <c r="AB56" s="182"/>
      <c r="AC56" s="182"/>
      <c r="AD56" s="182"/>
      <c r="AE56" s="184"/>
    </row>
    <row r="57" spans="2:31" ht="16.5" thickBot="1" thickTop="1">
      <c r="B57" s="187" t="s">
        <v>57</v>
      </c>
      <c r="C57" s="183" t="s">
        <v>47</v>
      </c>
      <c r="D57" s="182"/>
      <c r="E57" s="182"/>
      <c r="F57" s="182"/>
      <c r="G57" s="182"/>
      <c r="H57" s="182"/>
      <c r="I57" s="182"/>
      <c r="J57" s="182"/>
      <c r="K57" s="183"/>
      <c r="L57" s="182"/>
      <c r="M57" s="182"/>
      <c r="N57" s="182"/>
      <c r="O57" s="183"/>
      <c r="P57" s="183"/>
      <c r="Q57" s="183"/>
      <c r="R57" s="183"/>
      <c r="S57" s="182"/>
      <c r="T57" s="182"/>
      <c r="U57" s="182"/>
      <c r="V57" s="182"/>
      <c r="W57" s="183"/>
      <c r="X57" s="182"/>
      <c r="Y57" s="182"/>
      <c r="Z57" s="182"/>
      <c r="AA57" s="182"/>
      <c r="AB57" s="182"/>
      <c r="AC57" s="182"/>
      <c r="AD57" s="182"/>
      <c r="AE57" s="184"/>
    </row>
    <row r="58" spans="2:31" ht="16.5" thickBot="1" thickTop="1">
      <c r="B58" s="188" t="s">
        <v>58</v>
      </c>
      <c r="C58" s="189" t="s">
        <v>53</v>
      </c>
      <c r="D58" s="190"/>
      <c r="E58" s="190"/>
      <c r="F58" s="190"/>
      <c r="G58" s="190"/>
      <c r="H58" s="190"/>
      <c r="I58" s="190"/>
      <c r="J58" s="190"/>
      <c r="K58" s="189"/>
      <c r="L58" s="190"/>
      <c r="M58" s="190"/>
      <c r="N58" s="190"/>
      <c r="O58" s="189"/>
      <c r="P58" s="189"/>
      <c r="Q58" s="189"/>
      <c r="R58" s="189"/>
      <c r="S58" s="190"/>
      <c r="T58" s="190"/>
      <c r="U58" s="190"/>
      <c r="V58" s="190"/>
      <c r="W58" s="189"/>
      <c r="X58" s="190"/>
      <c r="Y58" s="190"/>
      <c r="Z58" s="190"/>
      <c r="AA58" s="190"/>
      <c r="AB58" s="190"/>
      <c r="AC58" s="190"/>
      <c r="AD58" s="190"/>
      <c r="AE58" s="195"/>
    </row>
    <row r="59" ht="9" customHeight="1"/>
  </sheetData>
  <sheetProtection/>
  <mergeCells count="36">
    <mergeCell ref="D7:E7"/>
    <mergeCell ref="H7:I7"/>
    <mergeCell ref="L7:M7"/>
    <mergeCell ref="N7:O7"/>
    <mergeCell ref="AA7:AB7"/>
    <mergeCell ref="AA8:AB8"/>
    <mergeCell ref="Y7:Z7"/>
    <mergeCell ref="Y8:Z8"/>
    <mergeCell ref="B2:AE3"/>
    <mergeCell ref="C4:AD4"/>
    <mergeCell ref="D6:E6"/>
    <mergeCell ref="H6:I6"/>
    <mergeCell ref="L6:M6"/>
    <mergeCell ref="N6:O6"/>
    <mergeCell ref="S6:T6"/>
    <mergeCell ref="Y6:Z6"/>
    <mergeCell ref="AA6:AB6"/>
    <mergeCell ref="U8:V8"/>
    <mergeCell ref="U6:V6"/>
    <mergeCell ref="U7:V7"/>
    <mergeCell ref="Q7:R7"/>
    <mergeCell ref="Q8:R8"/>
    <mergeCell ref="S7:T7"/>
    <mergeCell ref="S8:T8"/>
    <mergeCell ref="N8:O8"/>
    <mergeCell ref="Q6:R6"/>
    <mergeCell ref="F6:G6"/>
    <mergeCell ref="J6:K6"/>
    <mergeCell ref="F7:G7"/>
    <mergeCell ref="F8:G8"/>
    <mergeCell ref="J8:K8"/>
    <mergeCell ref="J7:K7"/>
    <mergeCell ref="D9:E9"/>
    <mergeCell ref="D8:E8"/>
    <mergeCell ref="H8:I8"/>
    <mergeCell ref="L8:M8"/>
  </mergeCells>
  <printOptions/>
  <pageMargins left="0.2755905511811024" right="0.15748031496062992" top="0.7480314960629921" bottom="0.1968503937007874" header="0.2755905511811024" footer="0.1968503937007874"/>
  <pageSetup horizontalDpi="300" verticalDpi="300" orientation="landscape" paperSize="9" scale="1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74"/>
  <sheetViews>
    <sheetView zoomScalePageLayoutView="0" workbookViewId="0" topLeftCell="B1">
      <selection activeCell="C5" sqref="C5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20.00390625" style="0" customWidth="1"/>
    <col min="4" max="8" width="8.140625" style="1" customWidth="1"/>
    <col min="9" max="9" width="8.140625" style="0" customWidth="1"/>
    <col min="10" max="12" width="8.140625" style="1" customWidth="1"/>
    <col min="13" max="16" width="8.140625" style="0" customWidth="1"/>
    <col min="17" max="20" width="8.140625" style="1" customWidth="1"/>
    <col min="21" max="21" width="8.140625" style="0" customWidth="1"/>
    <col min="22" max="29" width="8.140625" style="1" customWidth="1"/>
    <col min="30" max="30" width="8.140625" style="0" customWidth="1"/>
    <col min="31" max="33" width="8.140625" style="1" customWidth="1"/>
    <col min="34" max="34" width="8.140625" style="0" customWidth="1"/>
    <col min="35" max="35" width="8.140625" style="1" customWidth="1"/>
    <col min="36" max="36" width="8.140625" style="0" customWidth="1"/>
    <col min="37" max="37" width="8.140625" style="1" customWidth="1"/>
    <col min="38" max="40" width="8.140625" style="0" customWidth="1"/>
    <col min="41" max="43" width="8.140625" style="1" customWidth="1"/>
    <col min="44" max="44" width="8.57421875" style="1" customWidth="1"/>
    <col min="45" max="46" width="8.140625" style="1" customWidth="1"/>
    <col min="47" max="47" width="8.140625" style="0" customWidth="1"/>
    <col min="48" max="48" width="8.140625" style="1" customWidth="1"/>
    <col min="49" max="49" width="8.140625" style="0" customWidth="1"/>
    <col min="50" max="50" width="9.140625" style="1" customWidth="1"/>
    <col min="51" max="51" width="1.57421875" style="0" customWidth="1"/>
    <col min="52" max="52" width="12.8515625" style="0" customWidth="1"/>
    <col min="53" max="53" width="4.28125" style="0" customWidth="1"/>
  </cols>
  <sheetData>
    <row r="1" ht="7.5" customHeight="1" thickBot="1"/>
    <row r="2" spans="1:53" ht="20.25" customHeight="1" thickTop="1">
      <c r="A2" s="48"/>
      <c r="B2" s="241" t="s">
        <v>240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3"/>
      <c r="BA2" s="45"/>
    </row>
    <row r="3" spans="1:53" ht="8.25" customHeight="1" thickBot="1">
      <c r="A3" s="48"/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6"/>
      <c r="BA3" s="46"/>
    </row>
    <row r="4" spans="1:53" ht="22.5" customHeight="1" thickBot="1">
      <c r="A4" s="48"/>
      <c r="B4" s="107" t="s">
        <v>176</v>
      </c>
      <c r="C4" s="228" t="s">
        <v>238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9"/>
      <c r="AZ4" s="107" t="s">
        <v>115</v>
      </c>
      <c r="BA4" s="46"/>
    </row>
    <row r="5" spans="2:52" ht="9" customHeight="1" thickTop="1">
      <c r="B5" s="47"/>
      <c r="AD5" s="32"/>
      <c r="AH5" s="32"/>
      <c r="AJ5" s="32"/>
      <c r="AL5" s="32"/>
      <c r="AM5" s="32"/>
      <c r="AN5" s="32"/>
      <c r="AU5" s="32"/>
      <c r="AW5" s="32"/>
      <c r="AY5" s="32"/>
      <c r="AZ5" s="47"/>
    </row>
    <row r="6" spans="2:52" ht="15">
      <c r="B6" s="105"/>
      <c r="C6" s="1"/>
      <c r="D6" s="227" t="s">
        <v>27</v>
      </c>
      <c r="E6" s="227"/>
      <c r="F6" s="229" t="s">
        <v>28</v>
      </c>
      <c r="G6" s="235"/>
      <c r="H6" s="1" t="s">
        <v>121</v>
      </c>
      <c r="I6" s="1" t="s">
        <v>122</v>
      </c>
      <c r="J6" s="235" t="s">
        <v>73</v>
      </c>
      <c r="K6" s="235"/>
      <c r="L6" s="222" t="s">
        <v>74</v>
      </c>
      <c r="M6" s="222"/>
      <c r="N6" s="109" t="s">
        <v>123</v>
      </c>
      <c r="O6" s="97" t="s">
        <v>124</v>
      </c>
      <c r="P6" s="98" t="s">
        <v>125</v>
      </c>
      <c r="Q6" s="236" t="s">
        <v>127</v>
      </c>
      <c r="R6" s="235"/>
      <c r="S6" s="108" t="s">
        <v>116</v>
      </c>
      <c r="T6" s="225" t="s">
        <v>126</v>
      </c>
      <c r="U6" s="225"/>
      <c r="V6" s="98" t="s">
        <v>130</v>
      </c>
      <c r="W6" s="110" t="s">
        <v>132</v>
      </c>
      <c r="X6" s="251" t="s">
        <v>138</v>
      </c>
      <c r="Y6" s="251"/>
      <c r="Z6" s="226" t="s">
        <v>141</v>
      </c>
      <c r="AA6" s="226"/>
      <c r="AB6" s="251" t="s">
        <v>148</v>
      </c>
      <c r="AC6" s="251"/>
      <c r="AD6" s="109" t="s">
        <v>149</v>
      </c>
      <c r="AE6" s="251" t="s">
        <v>150</v>
      </c>
      <c r="AF6" s="251"/>
      <c r="AG6" s="235" t="s">
        <v>156</v>
      </c>
      <c r="AH6" s="235"/>
      <c r="AI6" s="222" t="s">
        <v>159</v>
      </c>
      <c r="AJ6" s="222"/>
      <c r="AK6" s="235" t="s">
        <v>160</v>
      </c>
      <c r="AL6" s="235"/>
      <c r="AM6" s="222" t="s">
        <v>161</v>
      </c>
      <c r="AN6" s="222"/>
      <c r="AO6" s="238" t="s">
        <v>163</v>
      </c>
      <c r="AP6" s="238"/>
      <c r="AQ6" s="108" t="s">
        <v>166</v>
      </c>
      <c r="AR6" s="110" t="s">
        <v>171</v>
      </c>
      <c r="AS6" s="98" t="s">
        <v>170</v>
      </c>
      <c r="AT6" s="235" t="s">
        <v>174</v>
      </c>
      <c r="AU6" s="235"/>
      <c r="AV6" s="222" t="s">
        <v>175</v>
      </c>
      <c r="AW6" s="222"/>
      <c r="AX6" s="109" t="s">
        <v>184</v>
      </c>
      <c r="AY6" s="126"/>
      <c r="AZ6" s="108"/>
    </row>
    <row r="7" spans="3:52" ht="52.5" customHeight="1">
      <c r="C7" s="106" t="s">
        <v>29</v>
      </c>
      <c r="D7" s="237" t="s">
        <v>87</v>
      </c>
      <c r="E7" s="237"/>
      <c r="F7" s="237" t="s">
        <v>85</v>
      </c>
      <c r="G7" s="237"/>
      <c r="H7" s="54" t="s">
        <v>86</v>
      </c>
      <c r="I7" s="54" t="s">
        <v>81</v>
      </c>
      <c r="J7" s="237" t="s">
        <v>107</v>
      </c>
      <c r="K7" s="237"/>
      <c r="L7" s="237" t="s">
        <v>93</v>
      </c>
      <c r="M7" s="237"/>
      <c r="N7" s="84" t="s">
        <v>106</v>
      </c>
      <c r="O7" s="54" t="s">
        <v>95</v>
      </c>
      <c r="P7" s="54" t="s">
        <v>109</v>
      </c>
      <c r="Q7" s="237" t="s">
        <v>110</v>
      </c>
      <c r="R7" s="237"/>
      <c r="S7" s="84" t="s">
        <v>117</v>
      </c>
      <c r="T7" s="237" t="s">
        <v>120</v>
      </c>
      <c r="U7" s="237"/>
      <c r="V7" s="111" t="s">
        <v>131</v>
      </c>
      <c r="W7" s="112" t="s">
        <v>140</v>
      </c>
      <c r="X7" s="223" t="s">
        <v>139</v>
      </c>
      <c r="Y7" s="223"/>
      <c r="Z7" s="223" t="s">
        <v>142</v>
      </c>
      <c r="AA7" s="223"/>
      <c r="AB7" s="223" t="s">
        <v>145</v>
      </c>
      <c r="AC7" s="223"/>
      <c r="AD7" s="2" t="s">
        <v>147</v>
      </c>
      <c r="AE7" s="223" t="s">
        <v>152</v>
      </c>
      <c r="AF7" s="223"/>
      <c r="AG7" s="223" t="s">
        <v>157</v>
      </c>
      <c r="AH7" s="223"/>
      <c r="AI7" s="223" t="s">
        <v>158</v>
      </c>
      <c r="AJ7" s="223"/>
      <c r="AK7" s="237" t="s">
        <v>168</v>
      </c>
      <c r="AL7" s="237"/>
      <c r="AM7" s="223" t="s">
        <v>162</v>
      </c>
      <c r="AN7" s="223"/>
      <c r="AO7" s="224" t="s">
        <v>164</v>
      </c>
      <c r="AP7" s="224"/>
      <c r="AQ7" s="127" t="s">
        <v>167</v>
      </c>
      <c r="AR7" s="111" t="s">
        <v>169</v>
      </c>
      <c r="AS7" s="127" t="s">
        <v>172</v>
      </c>
      <c r="AT7" s="237" t="s">
        <v>177</v>
      </c>
      <c r="AU7" s="237"/>
      <c r="AV7" s="237" t="s">
        <v>179</v>
      </c>
      <c r="AW7" s="237"/>
      <c r="AX7" s="127" t="s">
        <v>188</v>
      </c>
      <c r="AY7" s="124"/>
      <c r="AZ7" s="2" t="s">
        <v>42</v>
      </c>
    </row>
    <row r="8" spans="2:52" ht="15" customHeight="1">
      <c r="B8" s="58" t="s">
        <v>98</v>
      </c>
      <c r="C8" s="55"/>
      <c r="D8" s="232" t="s">
        <v>108</v>
      </c>
      <c r="E8" s="233"/>
      <c r="F8" s="233">
        <v>21.1</v>
      </c>
      <c r="G8" s="233"/>
      <c r="H8" s="81" t="s">
        <v>133</v>
      </c>
      <c r="I8" s="56" t="s">
        <v>136</v>
      </c>
      <c r="J8" s="233">
        <v>21.1</v>
      </c>
      <c r="K8" s="233"/>
      <c r="L8" s="233">
        <v>10</v>
      </c>
      <c r="M8" s="233"/>
      <c r="N8" s="55">
        <v>42.2</v>
      </c>
      <c r="O8" s="81" t="s">
        <v>135</v>
      </c>
      <c r="P8" s="81" t="s">
        <v>134</v>
      </c>
      <c r="Q8" s="233">
        <v>21.1</v>
      </c>
      <c r="R8" s="233"/>
      <c r="S8" s="55">
        <v>42.2</v>
      </c>
      <c r="T8" s="233">
        <v>10</v>
      </c>
      <c r="U8" s="233"/>
      <c r="V8" s="56" t="s">
        <v>133</v>
      </c>
      <c r="W8" s="56" t="s">
        <v>137</v>
      </c>
      <c r="X8" s="233">
        <v>42.2</v>
      </c>
      <c r="Y8" s="233"/>
      <c r="Z8" s="233" t="s">
        <v>143</v>
      </c>
      <c r="AA8" s="233"/>
      <c r="AB8" s="233">
        <v>10</v>
      </c>
      <c r="AC8" s="233"/>
      <c r="AD8" s="55">
        <v>21.1</v>
      </c>
      <c r="AE8" s="233">
        <v>12.6</v>
      </c>
      <c r="AF8" s="233"/>
      <c r="AG8" s="233">
        <v>12</v>
      </c>
      <c r="AH8" s="233"/>
      <c r="AI8" s="233">
        <v>10</v>
      </c>
      <c r="AJ8" s="233"/>
      <c r="AK8" s="233">
        <v>10</v>
      </c>
      <c r="AL8" s="233"/>
      <c r="AM8" s="233">
        <v>8.5</v>
      </c>
      <c r="AN8" s="233"/>
      <c r="AO8" s="233">
        <v>11</v>
      </c>
      <c r="AP8" s="233"/>
      <c r="AQ8" s="55">
        <v>10</v>
      </c>
      <c r="AR8" s="55"/>
      <c r="AS8" s="55" t="s">
        <v>173</v>
      </c>
      <c r="AT8" s="233">
        <v>10</v>
      </c>
      <c r="AU8" s="233"/>
      <c r="AV8" s="233">
        <v>13.5</v>
      </c>
      <c r="AW8" s="233"/>
      <c r="AX8" s="55" t="s">
        <v>185</v>
      </c>
      <c r="AY8" s="125"/>
      <c r="AZ8" s="2"/>
    </row>
    <row r="9" spans="2:52" ht="15" customHeight="1">
      <c r="B9" s="60"/>
      <c r="C9" s="61"/>
      <c r="D9" s="61" t="s">
        <v>83</v>
      </c>
      <c r="E9" s="61" t="s">
        <v>82</v>
      </c>
      <c r="F9" s="61" t="s">
        <v>83</v>
      </c>
      <c r="G9" s="61" t="s">
        <v>82</v>
      </c>
      <c r="H9" s="72"/>
      <c r="I9" s="62"/>
      <c r="J9" s="61" t="s">
        <v>83</v>
      </c>
      <c r="K9" s="61" t="s">
        <v>82</v>
      </c>
      <c r="L9" s="61" t="s">
        <v>83</v>
      </c>
      <c r="M9" s="61" t="s">
        <v>82</v>
      </c>
      <c r="N9" s="61"/>
      <c r="O9" s="72"/>
      <c r="P9" s="61"/>
      <c r="Q9" s="61" t="s">
        <v>83</v>
      </c>
      <c r="R9" s="61" t="s">
        <v>82</v>
      </c>
      <c r="S9" s="61"/>
      <c r="T9" s="61" t="s">
        <v>83</v>
      </c>
      <c r="U9" s="61" t="s">
        <v>82</v>
      </c>
      <c r="V9" s="61"/>
      <c r="W9" s="61"/>
      <c r="X9" s="61" t="s">
        <v>83</v>
      </c>
      <c r="Y9" s="61" t="s">
        <v>82</v>
      </c>
      <c r="Z9" s="61" t="s">
        <v>83</v>
      </c>
      <c r="AA9" s="61" t="s">
        <v>82</v>
      </c>
      <c r="AB9" s="61" t="s">
        <v>83</v>
      </c>
      <c r="AC9" s="61" t="s">
        <v>82</v>
      </c>
      <c r="AD9" s="61" t="s">
        <v>82</v>
      </c>
      <c r="AE9" s="61" t="s">
        <v>151</v>
      </c>
      <c r="AF9" s="61" t="s">
        <v>82</v>
      </c>
      <c r="AG9" s="61" t="s">
        <v>151</v>
      </c>
      <c r="AH9" s="61" t="s">
        <v>82</v>
      </c>
      <c r="AI9" s="61" t="s">
        <v>151</v>
      </c>
      <c r="AJ9" s="61" t="s">
        <v>82</v>
      </c>
      <c r="AK9" s="61" t="s">
        <v>151</v>
      </c>
      <c r="AL9" s="61" t="s">
        <v>82</v>
      </c>
      <c r="AM9" s="61" t="s">
        <v>151</v>
      </c>
      <c r="AN9" s="61" t="s">
        <v>82</v>
      </c>
      <c r="AO9" s="61" t="s">
        <v>151</v>
      </c>
      <c r="AP9" s="61" t="s">
        <v>82</v>
      </c>
      <c r="AQ9" s="61" t="s">
        <v>82</v>
      </c>
      <c r="AR9" s="61" t="s">
        <v>189</v>
      </c>
      <c r="AS9" s="61" t="s">
        <v>82</v>
      </c>
      <c r="AT9" s="61" t="s">
        <v>151</v>
      </c>
      <c r="AU9" s="61" t="s">
        <v>82</v>
      </c>
      <c r="AV9" s="61" t="s">
        <v>151</v>
      </c>
      <c r="AW9" s="61" t="s">
        <v>82</v>
      </c>
      <c r="AX9" s="61" t="s">
        <v>182</v>
      </c>
      <c r="AY9" s="61"/>
      <c r="AZ9" s="2"/>
    </row>
    <row r="10" spans="2:50" ht="13.5" customHeight="1">
      <c r="B10" s="59" t="s">
        <v>1</v>
      </c>
      <c r="E10" s="23"/>
      <c r="G10" s="23"/>
      <c r="H10" s="73"/>
      <c r="K10" s="23"/>
      <c r="L10" s="87"/>
      <c r="M10" s="87"/>
      <c r="N10" s="88"/>
      <c r="O10" s="73"/>
      <c r="R10" s="23"/>
      <c r="S10" s="23"/>
      <c r="T10" s="87"/>
      <c r="U10" s="87"/>
      <c r="V10" s="23"/>
      <c r="W10" s="23"/>
      <c r="X10" s="23"/>
      <c r="Y10" s="23"/>
      <c r="Z10" s="23"/>
      <c r="AA10" s="23"/>
      <c r="AB10" s="23"/>
      <c r="AC10" s="23"/>
      <c r="AE10" s="120" t="s">
        <v>154</v>
      </c>
      <c r="AF10" s="23"/>
      <c r="AG10" s="23"/>
      <c r="AI10" s="23"/>
      <c r="AK10" s="23"/>
      <c r="AO10" s="23"/>
      <c r="AP10" s="23"/>
      <c r="AQ10" s="23"/>
      <c r="AR10" s="23"/>
      <c r="AS10" s="23"/>
      <c r="AT10" s="23"/>
      <c r="AV10" s="23"/>
      <c r="AX10" s="23"/>
    </row>
    <row r="11" spans="2:52" ht="15">
      <c r="B11" s="57" t="s">
        <v>2</v>
      </c>
      <c r="C11" s="6" t="s">
        <v>67</v>
      </c>
      <c r="D11" s="78">
        <v>4.22</v>
      </c>
      <c r="E11" s="79">
        <f>6*LOOKUP(D11,Performance!$A$1:$A$121,Performance!$B$1:$B$121)</f>
        <v>7.140000000000053</v>
      </c>
      <c r="F11" s="75"/>
      <c r="G11" s="76"/>
      <c r="H11" s="74">
        <v>5</v>
      </c>
      <c r="J11" s="75"/>
      <c r="K11" s="76">
        <v>5</v>
      </c>
      <c r="L11" s="78">
        <v>4.43</v>
      </c>
      <c r="M11" s="79">
        <f>$L$8*LOOKUP(L11,Performance!$A$1:$A$121,Performance!$B$1:$B$121)</f>
        <v>10.850000000000112</v>
      </c>
      <c r="N11" s="79"/>
      <c r="O11" s="74">
        <v>7</v>
      </c>
      <c r="P11" s="99">
        <v>7.5</v>
      </c>
      <c r="Q11" s="75">
        <v>4.52</v>
      </c>
      <c r="R11" s="76">
        <f>$J$8*(LOOKUP(Q11,Performance!$A$1:$A$123,Performance!$B$1:$B$123))</f>
        <v>21.944000000000255</v>
      </c>
      <c r="S11" s="76"/>
      <c r="T11" s="78">
        <v>4.15</v>
      </c>
      <c r="U11" s="79">
        <f>$L$8*LOOKUP(T11,Performance!$A$1:$A$121,Performance!$B$1:$B$121)</f>
        <v>12.250000000000082</v>
      </c>
      <c r="V11" s="74">
        <f>10*1.155</f>
        <v>11.55</v>
      </c>
      <c r="W11" s="74"/>
      <c r="X11" s="76">
        <v>5.13</v>
      </c>
      <c r="Y11" s="76">
        <f>42.2*1.085</f>
        <v>45.787</v>
      </c>
      <c r="Z11" s="78">
        <v>4.19</v>
      </c>
      <c r="AA11" s="79">
        <f>$L$8*LOOKUP(Z11,Performance!$A$1:$A$121,Performance!$B$1:$B$121)</f>
        <v>12.050000000000086</v>
      </c>
      <c r="AB11" s="141">
        <v>4.36</v>
      </c>
      <c r="AC11" s="76">
        <f>$L$8*LOOKUP(AB11,Performance!$A$1:$A$123,Performance!$B$1:$B$123)</f>
        <v>11.200000000000102</v>
      </c>
      <c r="AD11" s="117"/>
      <c r="AE11" s="142">
        <v>4.2</v>
      </c>
      <c r="AF11" s="76">
        <f>$AE$8*LOOKUP(AE11,Performance!$A$1:$A$123,Performance!$B$1:$B$123)</f>
        <v>15.120000000000108</v>
      </c>
      <c r="AG11" s="79">
        <v>4.3</v>
      </c>
      <c r="AH11" s="79">
        <f>$AG$8*LOOKUP(AG11,Performance!$A$1:$A$123,Performance!$B$1:$B$123)</f>
        <v>13.800000000000116</v>
      </c>
      <c r="AI11" s="76">
        <v>4.12</v>
      </c>
      <c r="AJ11" s="76">
        <f>$AI$8*LOOKUP(AI11,Performance!$A$1:$A$123,Performance!$B$1:$B$123)</f>
        <v>12.400000000000077</v>
      </c>
      <c r="AK11" s="79"/>
      <c r="AL11" s="122">
        <v>5.5</v>
      </c>
      <c r="AM11" s="76">
        <v>4.19</v>
      </c>
      <c r="AN11" s="76">
        <f>$AM$8*LOOKUP(AM11,Performance!$A$1:$A$123,Performance!$B$1:$B$123)</f>
        <v>10.242500000000073</v>
      </c>
      <c r="AO11" s="79"/>
      <c r="AP11" s="79">
        <v>5.5</v>
      </c>
      <c r="AQ11" s="76">
        <v>10</v>
      </c>
      <c r="AR11" s="74">
        <v>5</v>
      </c>
      <c r="AS11" s="76">
        <v>11.2</v>
      </c>
      <c r="AT11" s="79">
        <v>4.47</v>
      </c>
      <c r="AU11" s="79">
        <f>10*LOOKUP(AT11,Performance!$A$1:$A$123,Performance!$B$1:$B$123)</f>
        <v>10.650000000000116</v>
      </c>
      <c r="AV11" s="76">
        <v>4.38</v>
      </c>
      <c r="AW11" s="76">
        <f>13.5*LOOKUP(AV11,Performance!$A$1:$A$123,Performance!$B$1:$B$123)</f>
        <v>14.985000000000142</v>
      </c>
      <c r="AX11" s="74">
        <f>4.65+4.5+4.8</f>
        <v>13.95</v>
      </c>
      <c r="AY11" s="122"/>
      <c r="AZ11" s="26">
        <f aca="true" t="shared" si="0" ref="AZ11:AZ39">K11+H11+G11+E11+M11+O11+I11+P11+N11+R11+S11+U11+V11+W11+Y11+AA11+AC11+AD11+AF11+AH11+AJ11+AL11+AN11+AP11+AQ11+AR11+AS11+AU11+AW11+AX11</f>
        <v>285.6185000000013</v>
      </c>
    </row>
    <row r="12" spans="2:52" ht="15">
      <c r="B12" s="57" t="s">
        <v>3</v>
      </c>
      <c r="C12" s="6" t="s">
        <v>76</v>
      </c>
      <c r="D12" s="78"/>
      <c r="E12" s="79"/>
      <c r="F12" s="75">
        <v>4.26</v>
      </c>
      <c r="G12" s="76">
        <f>$J$8*LOOKUP(F12,Performance!$A$1:$A$121,Performance!$B$1:$B$121)</f>
        <v>24.687000000000197</v>
      </c>
      <c r="H12" s="74"/>
      <c r="J12" s="75">
        <v>4.3</v>
      </c>
      <c r="K12" s="76">
        <f>$J$8*LOOKUP(J12,Performance!A7:A127,Performance!B7:B127)</f>
        <v>24.265000000000207</v>
      </c>
      <c r="L12" s="79"/>
      <c r="M12" s="79"/>
      <c r="N12" s="79"/>
      <c r="O12" s="74"/>
      <c r="P12" s="99">
        <v>7.5</v>
      </c>
      <c r="Q12" s="75">
        <v>4.44</v>
      </c>
      <c r="R12" s="76">
        <f>$J$8*LOOKUP(Q12,Performance!$A$1:$A$121,Performance!$B$1:$B$121)</f>
        <v>22.78800000000024</v>
      </c>
      <c r="S12" s="76"/>
      <c r="T12" s="78">
        <v>4.14</v>
      </c>
      <c r="U12" s="79">
        <f>$L$8*LOOKUP(T12,Performance!$A$1:$A$123,Performance!$B$1:$B$123)</f>
        <v>12.300000000000079</v>
      </c>
      <c r="V12" s="74"/>
      <c r="W12" s="74"/>
      <c r="X12" s="76">
        <v>5.56</v>
      </c>
      <c r="Y12" s="76">
        <v>42.2</v>
      </c>
      <c r="Z12" s="78">
        <v>4.16</v>
      </c>
      <c r="AA12" s="79">
        <f>$L$8*LOOKUP(Z12,Performance!$A$1:$A$123,Performance!$B$1:$B$123)</f>
        <v>12.200000000000081</v>
      </c>
      <c r="AB12" s="76"/>
      <c r="AC12" s="76"/>
      <c r="AD12" s="117">
        <v>21.1</v>
      </c>
      <c r="AE12" s="76">
        <v>4.5</v>
      </c>
      <c r="AF12" s="76">
        <f>$AE$8*LOOKUP(AE12,Performance!$A$1:$A$123,Performance!$B$1:$B$123)</f>
        <v>13.230000000000148</v>
      </c>
      <c r="AG12" s="79">
        <v>4.56</v>
      </c>
      <c r="AH12" s="79">
        <f>12*LOOKUP(AG12,Performance!$A$1:$A$123,Performance!$B$1:$B$123)</f>
        <v>12.24000000000015</v>
      </c>
      <c r="AI12" s="76"/>
      <c r="AJ12" s="76"/>
      <c r="AK12" s="79">
        <v>5.44</v>
      </c>
      <c r="AL12" s="79">
        <v>19.7</v>
      </c>
      <c r="AM12" s="76">
        <v>4.12</v>
      </c>
      <c r="AN12" s="76">
        <f>$AM$8*LOOKUP(AM12,Performance!$A$1:$A$123,Performance!$B$1:$B$123)</f>
        <v>10.540000000000067</v>
      </c>
      <c r="AO12" s="79">
        <v>4.3</v>
      </c>
      <c r="AP12" s="79">
        <f>11*LOOKUP(AO12,Performance!$A$1:$A$123,Performance!$B$1:$B$123)</f>
        <v>12.650000000000107</v>
      </c>
      <c r="AQ12" s="76"/>
      <c r="AR12" s="74"/>
      <c r="AS12" s="76">
        <v>11.2</v>
      </c>
      <c r="AT12" s="79">
        <v>4.31</v>
      </c>
      <c r="AU12" s="79">
        <f>10*LOOKUP(AT12,Performance!$A$1:$A$123,Performance!$B$1:$B$123)</f>
        <v>11.450000000000099</v>
      </c>
      <c r="AV12" s="76"/>
      <c r="AW12" s="76"/>
      <c r="AX12" s="74"/>
      <c r="AY12" s="79"/>
      <c r="AZ12" s="26">
        <f t="shared" si="0"/>
        <v>258.0500000000014</v>
      </c>
    </row>
    <row r="13" spans="2:52" ht="15">
      <c r="B13" s="57" t="s">
        <v>4</v>
      </c>
      <c r="C13" s="53" t="s">
        <v>65</v>
      </c>
      <c r="D13" s="78"/>
      <c r="E13" s="79"/>
      <c r="F13" s="75">
        <v>4.28</v>
      </c>
      <c r="G13" s="76">
        <f>$J$8*LOOKUP(F13,Performance!$A$1:$A$121,Performance!$B$1:$B$121)</f>
        <v>24.4760000000002</v>
      </c>
      <c r="H13" s="74"/>
      <c r="J13" s="75">
        <v>4.22</v>
      </c>
      <c r="K13" s="76">
        <f>$J$8*LOOKUP(J13,Performance!A5:A125,Performance!B5:B125)</f>
        <v>25.109000000000187</v>
      </c>
      <c r="L13" s="83" t="s">
        <v>89</v>
      </c>
      <c r="M13" s="79"/>
      <c r="N13" s="79"/>
      <c r="O13" s="74">
        <v>7</v>
      </c>
      <c r="P13" s="99">
        <v>7.5</v>
      </c>
      <c r="Q13" s="75">
        <v>4.2</v>
      </c>
      <c r="R13" s="76">
        <f>$J$8*LOOKUP(Q13,Performance!$A$1:$A$121,Performance!$B$1:$B$121)</f>
        <v>25.320000000000185</v>
      </c>
      <c r="S13" s="76"/>
      <c r="T13" s="86">
        <v>4.1</v>
      </c>
      <c r="U13" s="79">
        <f>$L$8*LOOKUP(T13,Performance!$A$1:$A$123,Performance!$B$1:$B$123)</f>
        <v>12.500000000000075</v>
      </c>
      <c r="V13" s="74"/>
      <c r="W13" s="74"/>
      <c r="X13" s="76">
        <v>5.22</v>
      </c>
      <c r="Y13" s="76">
        <f>42.2*1.04</f>
        <v>43.888000000000005</v>
      </c>
      <c r="Z13" s="86">
        <v>4.16</v>
      </c>
      <c r="AA13" s="79">
        <f>$L$8*LOOKUP(Z13,Performance!$A$1:$A$123,Performance!$B$1:$B$123)</f>
        <v>12.200000000000081</v>
      </c>
      <c r="AB13" s="76"/>
      <c r="AC13" s="76"/>
      <c r="AD13" s="117"/>
      <c r="AE13" s="142">
        <v>4.12</v>
      </c>
      <c r="AF13" s="76">
        <f>$AE$8*LOOKUP(AE13,Performance!$A$1:$A$123,Performance!$B$1:$B$123)</f>
        <v>15.624000000000098</v>
      </c>
      <c r="AG13" s="79">
        <v>4.24</v>
      </c>
      <c r="AH13" s="79">
        <f>$AG$8*LOOKUP(AG13,Performance!$A$1:$A$123,Performance!$B$1:$B$123)</f>
        <v>14.160000000000108</v>
      </c>
      <c r="AI13" s="76"/>
      <c r="AJ13" s="76"/>
      <c r="AK13" s="79"/>
      <c r="AL13" s="79"/>
      <c r="AM13" s="76"/>
      <c r="AN13" s="76"/>
      <c r="AO13" s="79"/>
      <c r="AP13" s="79"/>
      <c r="AQ13" s="76"/>
      <c r="AR13" s="74"/>
      <c r="AS13" s="76"/>
      <c r="AT13" s="79"/>
      <c r="AU13" s="79"/>
      <c r="AV13" s="76"/>
      <c r="AW13" s="76"/>
      <c r="AX13" s="74"/>
      <c r="AY13" s="79"/>
      <c r="AZ13" s="26">
        <f t="shared" si="0"/>
        <v>187.77700000000092</v>
      </c>
    </row>
    <row r="14" spans="2:52" ht="15">
      <c r="B14" s="57" t="s">
        <v>5</v>
      </c>
      <c r="C14" s="6" t="s">
        <v>105</v>
      </c>
      <c r="D14" s="95"/>
      <c r="E14" s="95"/>
      <c r="F14" s="94"/>
      <c r="G14" s="94"/>
      <c r="J14" s="94"/>
      <c r="K14" s="94"/>
      <c r="L14" s="92"/>
      <c r="M14" s="93"/>
      <c r="N14" s="96">
        <v>42.2</v>
      </c>
      <c r="O14" s="74">
        <v>7</v>
      </c>
      <c r="P14" s="99">
        <v>7.5</v>
      </c>
      <c r="Q14" s="94"/>
      <c r="R14" s="94"/>
      <c r="S14" s="76"/>
      <c r="T14" s="86">
        <v>4.5</v>
      </c>
      <c r="U14" s="79">
        <f>$L$8*(LOOKUP(T14,Performance!$A$1:$A$123,Performance!$B$1:$B$123)+0.09)</f>
        <v>11.40000000000012</v>
      </c>
      <c r="V14" s="74">
        <v>5</v>
      </c>
      <c r="W14" s="74"/>
      <c r="X14" s="76"/>
      <c r="Y14" s="76"/>
      <c r="Z14" s="79"/>
      <c r="AA14" s="79"/>
      <c r="AB14" s="141">
        <v>5.06</v>
      </c>
      <c r="AC14" s="76">
        <f>1.06*10</f>
        <v>10.600000000000001</v>
      </c>
      <c r="AD14" s="117"/>
      <c r="AE14" s="144" t="s">
        <v>165</v>
      </c>
      <c r="AF14" s="142">
        <f>12.6/2</f>
        <v>6.3</v>
      </c>
      <c r="AG14" s="79">
        <v>5.04</v>
      </c>
      <c r="AH14" s="79">
        <v>12.54</v>
      </c>
      <c r="AI14" s="76">
        <v>4.41</v>
      </c>
      <c r="AJ14" s="76">
        <v>11.85</v>
      </c>
      <c r="AK14" s="79">
        <v>5.26</v>
      </c>
      <c r="AL14" s="79">
        <f>8+5.5</f>
        <v>13.5</v>
      </c>
      <c r="AM14" s="76"/>
      <c r="AN14" s="76"/>
      <c r="AO14" s="119" t="s">
        <v>165</v>
      </c>
      <c r="AP14" s="79">
        <v>10.5</v>
      </c>
      <c r="AQ14" s="76">
        <v>10</v>
      </c>
      <c r="AR14" s="74"/>
      <c r="AS14" s="76">
        <v>5.7</v>
      </c>
      <c r="AT14" s="79">
        <v>4.57</v>
      </c>
      <c r="AU14" s="79">
        <f>10*LOOKUP(AT14,Performance!$A$1:$A$123,Performance!$B$1:$B$123+0.09)</f>
        <v>11.050000000000127</v>
      </c>
      <c r="AV14" s="76">
        <v>4.54</v>
      </c>
      <c r="AW14" s="76">
        <f>13.5*LOOKUP(AV14,Performance!$A$1:$A$123,Performance!$B$1:$B$123+0.09)</f>
        <v>15.120000000000166</v>
      </c>
      <c r="AX14" s="74">
        <v>4.65</v>
      </c>
      <c r="AY14" s="79"/>
      <c r="AZ14" s="26">
        <f t="shared" si="0"/>
        <v>184.91000000000042</v>
      </c>
    </row>
    <row r="15" spans="2:52" ht="15">
      <c r="B15" s="57" t="s">
        <v>6</v>
      </c>
      <c r="C15" s="100" t="s">
        <v>63</v>
      </c>
      <c r="D15" s="71"/>
      <c r="E15" s="77"/>
      <c r="F15" s="71">
        <v>5.25</v>
      </c>
      <c r="G15" s="77">
        <f>$J$8*LOOKUP(F15,Performance!$C$4:$C$124,Performance!$D$4:$D$124)</f>
        <v>21.62750000000026</v>
      </c>
      <c r="H15" s="77">
        <v>5</v>
      </c>
      <c r="I15" s="80"/>
      <c r="J15" s="71">
        <v>5.25</v>
      </c>
      <c r="K15" s="77">
        <f>$J$8*LOOKUP(J15,Performance!$C$4:$C$124,Performance!$D$4:$D$124)</f>
        <v>21.62750000000026</v>
      </c>
      <c r="L15" s="85">
        <v>5.31</v>
      </c>
      <c r="M15" s="77">
        <f>$L$8*LOOKUP(L15,Performance!$C$4:$C$124,Performance!$D$4:$D$124)</f>
        <v>10.000000000000128</v>
      </c>
      <c r="N15" s="77"/>
      <c r="O15" s="77">
        <v>7</v>
      </c>
      <c r="P15" s="80"/>
      <c r="Q15" s="71">
        <v>5.35</v>
      </c>
      <c r="R15" s="77">
        <f>$J$8*LOOKUP(Q15,Performance!$C$4:$C$124,Performance!$D$4:$D$124)</f>
        <v>21.10000000000027</v>
      </c>
      <c r="S15" s="77"/>
      <c r="T15" s="85">
        <v>5.04</v>
      </c>
      <c r="U15" s="77">
        <f>$L$8*LOOKUP(T15,Performance!$C$4:$C$124,Performance!$D$4:$D$124)</f>
        <v>11.3000000000001</v>
      </c>
      <c r="V15" s="77">
        <v>5</v>
      </c>
      <c r="W15" s="77">
        <v>5</v>
      </c>
      <c r="X15" s="77"/>
      <c r="Y15" s="77"/>
      <c r="Z15" s="85">
        <v>5.04</v>
      </c>
      <c r="AA15" s="77">
        <f>$L$8*LOOKUP(Z15,Performance!$C$4:$C$124,Performance!$D$4:$D$124)</f>
        <v>11.3000000000001</v>
      </c>
      <c r="AB15" s="85">
        <v>5.26</v>
      </c>
      <c r="AC15" s="77">
        <f>$L$8*LOOKUP(AB15,Performance!$C$4:$C$124,Performance!$D$4:$D$124)</f>
        <v>10.200000000000124</v>
      </c>
      <c r="AD15" s="80"/>
      <c r="AE15" s="77">
        <v>5.23</v>
      </c>
      <c r="AF15" s="77">
        <f>$AE$8*LOOKUP(AE15,Performance!$C$4:$C$124,Performance!$D$4:$D$124)</f>
        <v>13.041000000000153</v>
      </c>
      <c r="AG15" s="77">
        <v>5.32</v>
      </c>
      <c r="AH15" s="77">
        <f>$AG$8*LOOKUP(AG15,Performance!$C$4:$C$124,Performance!$D$4:$D$124)</f>
        <v>12.000000000000155</v>
      </c>
      <c r="AI15" s="77">
        <v>5.1</v>
      </c>
      <c r="AJ15" s="77">
        <f>$AI$8*LOOKUP(AI15,Performance!$C$4:$C$124,Performance!$D$4:$D$124)</f>
        <v>11.000000000000107</v>
      </c>
      <c r="AK15" s="77"/>
      <c r="AL15" s="123">
        <v>5.5</v>
      </c>
      <c r="AM15" s="77">
        <v>5.14</v>
      </c>
      <c r="AN15" s="77">
        <f>$AM$8*LOOKUP(AM15,Performance!$C$4:$C$124,Performance!$D$4:$D$124)</f>
        <v>9.180000000000096</v>
      </c>
      <c r="AO15" s="77"/>
      <c r="AP15" s="77"/>
      <c r="AQ15" s="77"/>
      <c r="AR15" s="77"/>
      <c r="AS15" s="77"/>
      <c r="AT15" s="77"/>
      <c r="AU15" s="123"/>
      <c r="AV15" s="77"/>
      <c r="AW15" s="77"/>
      <c r="AX15" s="77"/>
      <c r="AY15" s="123"/>
      <c r="AZ15" s="26">
        <f t="shared" si="0"/>
        <v>179.87600000000174</v>
      </c>
    </row>
    <row r="16" spans="2:52" ht="15">
      <c r="B16" s="57" t="s">
        <v>7</v>
      </c>
      <c r="C16" s="6" t="s">
        <v>64</v>
      </c>
      <c r="D16" s="78"/>
      <c r="E16" s="79"/>
      <c r="F16" s="75">
        <v>4.22</v>
      </c>
      <c r="G16" s="76">
        <f>$J$8*LOOKUP(F16,Performance!$A$1:$A$121,Performance!$B$1:$B$121)</f>
        <v>25.109000000000187</v>
      </c>
      <c r="H16" s="74"/>
      <c r="I16" s="4">
        <v>6</v>
      </c>
      <c r="J16" s="75">
        <v>4.11</v>
      </c>
      <c r="K16" s="76">
        <f>$J$8*LOOKUP(J16,Performance!A2:A122,Performance!B2:B122)</f>
        <v>26.269500000000164</v>
      </c>
      <c r="L16" s="89"/>
      <c r="M16" s="89"/>
      <c r="N16" s="89"/>
      <c r="O16" s="74"/>
      <c r="P16" s="4"/>
      <c r="Q16" s="75"/>
      <c r="R16" s="76"/>
      <c r="S16" s="76">
        <f>$S$8*1.205</f>
        <v>50.851000000000006</v>
      </c>
      <c r="T16" s="89"/>
      <c r="U16" s="89"/>
      <c r="V16" s="74">
        <f>5+5</f>
        <v>10</v>
      </c>
      <c r="W16" s="74"/>
      <c r="X16" s="76"/>
      <c r="Y16" s="76"/>
      <c r="Z16" s="78">
        <v>5.17</v>
      </c>
      <c r="AA16" s="79">
        <f>42.2*1.065</f>
        <v>44.943</v>
      </c>
      <c r="AB16" s="76"/>
      <c r="AC16" s="76"/>
      <c r="AD16" s="79"/>
      <c r="AE16" s="76"/>
      <c r="AF16" s="76"/>
      <c r="AG16" s="79"/>
      <c r="AH16" s="79"/>
      <c r="AI16" s="76"/>
      <c r="AJ16" s="76"/>
      <c r="AK16" s="79">
        <v>4.22</v>
      </c>
      <c r="AL16" s="79">
        <f>$AK$8*LOOKUP(AK16,Performance!$A$1:$A$123,Performance!$B$1:$B$123)</f>
        <v>11.900000000000087</v>
      </c>
      <c r="AM16" s="76"/>
      <c r="AN16" s="76"/>
      <c r="AO16" s="79"/>
      <c r="AP16" s="79"/>
      <c r="AQ16" s="76"/>
      <c r="AR16" s="74"/>
      <c r="AS16" s="76"/>
      <c r="AT16" s="79"/>
      <c r="AU16" s="79"/>
      <c r="AV16" s="76"/>
      <c r="AW16" s="76"/>
      <c r="AX16" s="74">
        <v>4.5</v>
      </c>
      <c r="AY16" s="79"/>
      <c r="AZ16" s="26">
        <f t="shared" si="0"/>
        <v>179.57250000000045</v>
      </c>
    </row>
    <row r="17" spans="2:52" ht="15">
      <c r="B17" s="57" t="s">
        <v>8</v>
      </c>
      <c r="C17" s="6" t="s">
        <v>59</v>
      </c>
      <c r="D17" s="78"/>
      <c r="E17" s="79"/>
      <c r="F17" s="75">
        <v>4.03</v>
      </c>
      <c r="G17" s="76">
        <f>$J$8*LOOKUP(F17,Performance!$A$1:$A$121,Performance!$B$1:$B$121)</f>
        <v>27.113500000000144</v>
      </c>
      <c r="H17" s="74">
        <v>5</v>
      </c>
      <c r="J17" s="75"/>
      <c r="K17" s="76">
        <v>5</v>
      </c>
      <c r="L17" s="79"/>
      <c r="M17" s="79"/>
      <c r="N17" s="79"/>
      <c r="O17" s="74">
        <v>7</v>
      </c>
      <c r="P17" s="99">
        <v>7.5</v>
      </c>
      <c r="Q17" s="75"/>
      <c r="R17" s="76"/>
      <c r="S17" s="76"/>
      <c r="T17" s="86">
        <v>4.08</v>
      </c>
      <c r="U17" s="79">
        <f>$L$8*LOOKUP(T17,Performance!$A$1:$A$123,Performance!$B$1:$B$123)</f>
        <v>12.600000000000072</v>
      </c>
      <c r="V17" s="74">
        <v>5</v>
      </c>
      <c r="W17" s="74"/>
      <c r="X17" s="76">
        <v>4.55</v>
      </c>
      <c r="Y17" s="76">
        <f>42.2*1.175</f>
        <v>49.58500000000001</v>
      </c>
      <c r="Z17" s="86">
        <v>4.1</v>
      </c>
      <c r="AA17" s="79">
        <f>$L$8*LOOKUP(Z17,Performance!$A$1:$A$123,Performance!$B$1:$B$123)</f>
        <v>12.500000000000075</v>
      </c>
      <c r="AB17" s="141">
        <v>4.11</v>
      </c>
      <c r="AC17" s="76">
        <f>$L$8*LOOKUP(AB17,Performance!$A$1:$A$123,Performance!$B$1:$B$123)</f>
        <v>12.450000000000077</v>
      </c>
      <c r="AD17" s="117"/>
      <c r="AE17" s="142">
        <v>4.02</v>
      </c>
      <c r="AF17" s="76">
        <f>$AE$8*LOOKUP(AE17,Performance!$A$1:$A$123,Performance!$B$1:$B$123)</f>
        <v>16.254000000000083</v>
      </c>
      <c r="AG17" s="79"/>
      <c r="AH17" s="117"/>
      <c r="AI17" s="76"/>
      <c r="AJ17" s="143"/>
      <c r="AK17" s="79">
        <v>4.02</v>
      </c>
      <c r="AL17" s="79">
        <f>$AK$8*LOOKUP(AK17,Performance!$A$1:$A$123,Performance!$B$1:$B$123)</f>
        <v>12.900000000000066</v>
      </c>
      <c r="AM17" s="76"/>
      <c r="AN17" s="143"/>
      <c r="AO17" s="79"/>
      <c r="AP17" s="79"/>
      <c r="AQ17" s="76"/>
      <c r="AR17" s="74"/>
      <c r="AS17" s="76"/>
      <c r="AT17" s="79"/>
      <c r="AU17" s="79"/>
      <c r="AV17" s="76"/>
      <c r="AW17" s="143"/>
      <c r="AX17" s="74"/>
      <c r="AY17" s="79"/>
      <c r="AZ17" s="26">
        <f t="shared" si="0"/>
        <v>172.90250000000052</v>
      </c>
    </row>
    <row r="18" spans="2:52" ht="15">
      <c r="B18" s="57" t="s">
        <v>9</v>
      </c>
      <c r="C18" s="6" t="s">
        <v>60</v>
      </c>
      <c r="D18" s="78"/>
      <c r="E18" s="79"/>
      <c r="F18" s="75">
        <v>4.28</v>
      </c>
      <c r="G18" s="76">
        <f>$J$8*LOOKUP(F18,Performance!$A$1:$A$121,Performance!$B$1:$B$121)</f>
        <v>24.4760000000002</v>
      </c>
      <c r="H18" s="74">
        <v>5</v>
      </c>
      <c r="J18" s="75">
        <v>4.23</v>
      </c>
      <c r="K18" s="76">
        <f>$J$8*LOOKUP(J18,Performance!A3:A123,Performance!B3:B123)</f>
        <v>25.00350000000019</v>
      </c>
      <c r="L18" s="79"/>
      <c r="M18" s="79"/>
      <c r="N18" s="79"/>
      <c r="O18" s="74">
        <v>7</v>
      </c>
      <c r="P18" s="99">
        <v>7.5</v>
      </c>
      <c r="Q18" s="75"/>
      <c r="R18" s="76"/>
      <c r="S18" s="76"/>
      <c r="T18" s="86">
        <v>4.18</v>
      </c>
      <c r="U18" s="79">
        <f>$L$8*LOOKUP(T18,Performance!$A$1:$A$123,Performance!$B$1:$B$123)</f>
        <v>12.100000000000083</v>
      </c>
      <c r="V18" s="74">
        <v>5</v>
      </c>
      <c r="W18" s="74"/>
      <c r="X18" s="76">
        <v>6.23</v>
      </c>
      <c r="Y18" s="76">
        <v>42.2</v>
      </c>
      <c r="Z18" s="86">
        <v>4.2</v>
      </c>
      <c r="AA18" s="79">
        <f>$L$8*LOOKUP(Z18,Performance!$A$1:$A$123,Performance!$B$1:$B$123)</f>
        <v>12.000000000000085</v>
      </c>
      <c r="AB18" s="76"/>
      <c r="AC18" s="76"/>
      <c r="AD18" s="117"/>
      <c r="AE18" s="76">
        <v>4.25</v>
      </c>
      <c r="AF18" s="76">
        <f>$AE$8*LOOKUP(AE18,Performance!$A$1:$A$123,Performance!$B$1:$B$123)</f>
        <v>14.805000000000115</v>
      </c>
      <c r="AG18" s="79"/>
      <c r="AH18" s="117"/>
      <c r="AI18" s="76"/>
      <c r="AJ18" s="143"/>
      <c r="AK18" s="79">
        <v>4.23</v>
      </c>
      <c r="AL18" s="79">
        <f>$AK$8*LOOKUP(AK18,Performance!$A$1:$A$123,Performance!$B$1:$B$123)</f>
        <v>11.85000000000009</v>
      </c>
      <c r="AM18" s="76"/>
      <c r="AN18" s="143"/>
      <c r="AO18" s="79"/>
      <c r="AP18" s="79"/>
      <c r="AQ18" s="76"/>
      <c r="AR18" s="74"/>
      <c r="AS18" s="76"/>
      <c r="AT18" s="79"/>
      <c r="AU18" s="79"/>
      <c r="AV18" s="76"/>
      <c r="AW18" s="143"/>
      <c r="AX18" s="74"/>
      <c r="AY18" s="79"/>
      <c r="AZ18" s="26">
        <f t="shared" si="0"/>
        <v>166.93450000000078</v>
      </c>
    </row>
    <row r="19" spans="2:52" ht="15">
      <c r="B19" s="57" t="s">
        <v>10</v>
      </c>
      <c r="C19" s="6" t="s">
        <v>62</v>
      </c>
      <c r="D19" s="78"/>
      <c r="E19" s="79"/>
      <c r="F19" s="75">
        <v>3.56</v>
      </c>
      <c r="G19" s="76">
        <f>$J$8*(LOOKUP(F19,Performance!$A$1:$A$123,Performance!$B$1:$B$123)+0.045)</f>
        <v>28.80150000000013</v>
      </c>
      <c r="H19" s="74"/>
      <c r="I19" s="4">
        <v>6</v>
      </c>
      <c r="J19" s="75">
        <v>4.09</v>
      </c>
      <c r="K19" s="76">
        <f>$J$8*(LOOKUP(J19,Performance!$A$1:$A$123,Performance!$B$1:$B$123)+0.045)</f>
        <v>27.430000000000156</v>
      </c>
      <c r="L19" s="89"/>
      <c r="M19" s="89"/>
      <c r="N19" s="89"/>
      <c r="O19" s="74">
        <v>7</v>
      </c>
      <c r="P19" s="4"/>
      <c r="Q19" s="75">
        <v>4.09</v>
      </c>
      <c r="R19" s="76">
        <f>$J$8*(LOOKUP(Q19,Performance!$A$1:$A$123,Performance!$B$1:$B$123)+0.045)</f>
        <v>27.430000000000156</v>
      </c>
      <c r="S19" s="76"/>
      <c r="T19" s="89"/>
      <c r="U19" s="89"/>
      <c r="V19" s="74">
        <v>5</v>
      </c>
      <c r="W19" s="74"/>
      <c r="X19" s="76"/>
      <c r="Y19" s="76"/>
      <c r="Z19" s="78">
        <v>4.41</v>
      </c>
      <c r="AA19" s="83">
        <f>$X$8*(LOOKUP(Z19,Performance!$E$3:$E$123,Performance!$F$3:$F$123)+0.045)</f>
        <v>54.43800000000032</v>
      </c>
      <c r="AB19" s="142"/>
      <c r="AC19" s="142"/>
      <c r="AD19" s="118"/>
      <c r="AE19" s="142"/>
      <c r="AF19" s="76"/>
      <c r="AG19" s="83"/>
      <c r="AH19" s="118"/>
      <c r="AI19" s="142"/>
      <c r="AJ19" s="145"/>
      <c r="AK19" s="83"/>
      <c r="AL19" s="118"/>
      <c r="AM19" s="76"/>
      <c r="AN19" s="145"/>
      <c r="AO19" s="83"/>
      <c r="AP19" s="83"/>
      <c r="AQ19" s="142"/>
      <c r="AR19" s="140"/>
      <c r="AS19" s="142"/>
      <c r="AT19" s="83"/>
      <c r="AU19" s="118"/>
      <c r="AV19" s="142"/>
      <c r="AW19" s="145"/>
      <c r="AX19" s="140">
        <v>4.5</v>
      </c>
      <c r="AY19" s="118"/>
      <c r="AZ19" s="26">
        <f t="shared" si="0"/>
        <v>160.59950000000077</v>
      </c>
    </row>
    <row r="20" spans="2:52" ht="15">
      <c r="B20" s="57" t="s">
        <v>11</v>
      </c>
      <c r="C20" s="6" t="s">
        <v>70</v>
      </c>
      <c r="D20" s="78">
        <v>4.18</v>
      </c>
      <c r="E20" s="79">
        <f>4*(LOOKUP(D20,Performance!$A$1:$A$123,Performance!$B$1:$B$123)+0.045)</f>
        <v>5.020000000000033</v>
      </c>
      <c r="F20" s="75"/>
      <c r="G20" s="76"/>
      <c r="H20" s="74">
        <v>5</v>
      </c>
      <c r="J20" s="75">
        <v>4.25</v>
      </c>
      <c r="K20" s="76">
        <f>$J$8*(LOOKUP(J20,Performance!$A$1:$A$123,Performance!$B$1:$B$123)+0.045)</f>
        <v>25.742000000000193</v>
      </c>
      <c r="L20" s="83" t="s">
        <v>89</v>
      </c>
      <c r="M20" s="79"/>
      <c r="N20" s="79"/>
      <c r="O20" s="74">
        <v>7</v>
      </c>
      <c r="P20" s="99">
        <v>7.5</v>
      </c>
      <c r="Q20" s="75">
        <v>4.33</v>
      </c>
      <c r="R20" s="76">
        <f>$J$8*(LOOKUP(Q20,Performance!$A$1:$A$123,Performance!$B$1:$B$123)+0.045)</f>
        <v>24.898000000000213</v>
      </c>
      <c r="S20" s="76"/>
      <c r="T20" s="86">
        <v>4.19</v>
      </c>
      <c r="U20" s="79">
        <f>$T$8*(LOOKUP(T20,Performance!$A$1:$A$123,Performance!$B$1:$B$123)+0.045)</f>
        <v>12.500000000000085</v>
      </c>
      <c r="V20" s="74"/>
      <c r="W20" s="74">
        <f>5+5</f>
        <v>10</v>
      </c>
      <c r="X20" s="76"/>
      <c r="Y20" s="76"/>
      <c r="Z20" s="86">
        <v>4.31</v>
      </c>
      <c r="AA20" s="79">
        <f>$T$8*(LOOKUP(Z20,Performance!$A$1:$A$123,Performance!$B$1:$B$123)+0.045)</f>
        <v>11.900000000000098</v>
      </c>
      <c r="AB20" s="141">
        <v>4.42</v>
      </c>
      <c r="AC20" s="76">
        <f>$T$8*(LOOKUP(AB20,Performance!$A$1:$A$123,Performance!$B$1:$B$123)+0.045)</f>
        <v>11.350000000000108</v>
      </c>
      <c r="AD20" s="117"/>
      <c r="AE20" s="76">
        <v>4.21</v>
      </c>
      <c r="AF20" s="76">
        <f>AE8*(LOOKUP(AE20,Performance!$A$1:$A$123,Performance!$B$1:$B$123)+0.045)</f>
        <v>15.624000000000109</v>
      </c>
      <c r="AG20" s="79">
        <v>4.37</v>
      </c>
      <c r="AH20" s="79">
        <f>AG8*(LOOKUP(AG20,Performance!$A$1:$A$123,Performance!$B$1:$B$123)+0.045)</f>
        <v>13.920000000000124</v>
      </c>
      <c r="AI20" s="76"/>
      <c r="AJ20" s="76"/>
      <c r="AK20" s="79"/>
      <c r="AL20" s="79"/>
      <c r="AM20" s="76"/>
      <c r="AN20" s="76"/>
      <c r="AO20" s="79"/>
      <c r="AP20" s="79"/>
      <c r="AQ20" s="76"/>
      <c r="AR20" s="74"/>
      <c r="AS20" s="76"/>
      <c r="AT20" s="79"/>
      <c r="AU20" s="79"/>
      <c r="AV20" s="76"/>
      <c r="AW20" s="76"/>
      <c r="AX20" s="74"/>
      <c r="AY20" s="79"/>
      <c r="AZ20" s="26">
        <f t="shared" si="0"/>
        <v>150.45400000000097</v>
      </c>
    </row>
    <row r="21" spans="2:52" ht="15">
      <c r="B21" s="57" t="s">
        <v>12</v>
      </c>
      <c r="C21" s="6" t="s">
        <v>128</v>
      </c>
      <c r="D21" s="95"/>
      <c r="E21" s="95"/>
      <c r="F21" s="94"/>
      <c r="G21" s="94"/>
      <c r="J21" s="94"/>
      <c r="K21" s="94"/>
      <c r="L21" s="92"/>
      <c r="M21" s="93"/>
      <c r="N21" s="93"/>
      <c r="O21" s="99">
        <v>7</v>
      </c>
      <c r="P21" s="99">
        <v>7.5</v>
      </c>
      <c r="Q21" s="94"/>
      <c r="R21" s="94"/>
      <c r="S21" s="94"/>
      <c r="T21" s="86">
        <v>5.02</v>
      </c>
      <c r="U21" s="79">
        <f>$L$8*LOOKUP(T21,Performance!$A$1:$A$123,Performance!$B$1:$B$123)</f>
        <v>10</v>
      </c>
      <c r="V21" s="97"/>
      <c r="W21" s="74">
        <v>5</v>
      </c>
      <c r="X21" s="94"/>
      <c r="Y21" s="94"/>
      <c r="Z21" s="95">
        <v>5.15</v>
      </c>
      <c r="AA21" s="79">
        <v>21.1</v>
      </c>
      <c r="AB21" s="76">
        <v>5.1</v>
      </c>
      <c r="AC21" s="76">
        <v>10</v>
      </c>
      <c r="AD21" s="117"/>
      <c r="AE21" s="76">
        <v>4.57</v>
      </c>
      <c r="AF21" s="76">
        <f>$AE$8*LOOKUP(AE21,Performance!$A$1:$A$123,Performance!$B$1:$B$123)</f>
        <v>12.789000000000158</v>
      </c>
      <c r="AG21" s="79">
        <v>5.1</v>
      </c>
      <c r="AH21" s="79">
        <v>12</v>
      </c>
      <c r="AI21" s="76"/>
      <c r="AJ21" s="76"/>
      <c r="AK21" s="79">
        <v>5.34</v>
      </c>
      <c r="AL21" s="79">
        <v>8</v>
      </c>
      <c r="AM21" s="76"/>
      <c r="AN21" s="76"/>
      <c r="AO21" s="119" t="s">
        <v>165</v>
      </c>
      <c r="AP21" s="79">
        <v>10.5</v>
      </c>
      <c r="AQ21" s="76">
        <v>10</v>
      </c>
      <c r="AR21" s="74"/>
      <c r="AS21" s="76"/>
      <c r="AT21" s="79">
        <v>5.22</v>
      </c>
      <c r="AU21" s="79">
        <v>10</v>
      </c>
      <c r="AV21" s="76">
        <v>5.16</v>
      </c>
      <c r="AW21" s="76">
        <v>13.5</v>
      </c>
      <c r="AX21" s="74"/>
      <c r="AY21" s="79"/>
      <c r="AZ21" s="26">
        <f t="shared" si="0"/>
        <v>137.38900000000015</v>
      </c>
    </row>
    <row r="22" spans="2:52" ht="15">
      <c r="B22" s="57" t="s">
        <v>13</v>
      </c>
      <c r="C22" s="6" t="s">
        <v>61</v>
      </c>
      <c r="D22" s="78"/>
      <c r="E22" s="79"/>
      <c r="F22" s="115">
        <v>3.49</v>
      </c>
      <c r="G22" s="113">
        <f>$J$8*(LOOKUP(F22,Performance!$A$1:$A$123,Performance!$B$1:$B$123)+0.045)</f>
        <v>29.540000000000113</v>
      </c>
      <c r="H22" s="74"/>
      <c r="J22" s="75"/>
      <c r="K22" s="76"/>
      <c r="L22" s="79"/>
      <c r="M22" s="79"/>
      <c r="N22" s="79"/>
      <c r="O22" s="74"/>
      <c r="Q22" s="75"/>
      <c r="R22" s="76"/>
      <c r="S22" s="76"/>
      <c r="T22" s="79"/>
      <c r="U22" s="79"/>
      <c r="V22" s="74">
        <v>5</v>
      </c>
      <c r="W22" s="74"/>
      <c r="X22" s="76"/>
      <c r="Y22" s="76"/>
      <c r="Z22" s="116">
        <v>4.09</v>
      </c>
      <c r="AA22" s="114">
        <f>$X$8*(LOOKUP(Z22,Performance!$E$3:$E$123,Performance!$F$3:$F$123)+0.045)</f>
        <v>61.19000000000018</v>
      </c>
      <c r="AB22" s="143"/>
      <c r="AC22" s="143"/>
      <c r="AD22" s="117"/>
      <c r="AE22" s="143"/>
      <c r="AF22" s="143"/>
      <c r="AG22" s="117"/>
      <c r="AH22" s="117"/>
      <c r="AI22" s="143"/>
      <c r="AJ22" s="143"/>
      <c r="AK22" s="114">
        <v>3.38</v>
      </c>
      <c r="AL22" s="114">
        <f>10*(LOOKUP(AK22,Performance!$A$1:$A$123,Performance!$B$1:$B$123)+0.045)</f>
        <v>14.55000000000004</v>
      </c>
      <c r="AM22" s="76"/>
      <c r="AN22" s="143"/>
      <c r="AO22" s="79"/>
      <c r="AP22" s="79"/>
      <c r="AQ22" s="76"/>
      <c r="AR22" s="74"/>
      <c r="AS22" s="76"/>
      <c r="AT22" s="79"/>
      <c r="AU22" s="79"/>
      <c r="AV22" s="143"/>
      <c r="AW22" s="143"/>
      <c r="AX22" s="74"/>
      <c r="AY22" s="79"/>
      <c r="AZ22" s="26">
        <f t="shared" si="0"/>
        <v>110.28000000000034</v>
      </c>
    </row>
    <row r="23" spans="2:52" ht="15">
      <c r="B23" s="57" t="s">
        <v>14</v>
      </c>
      <c r="C23" s="6" t="s">
        <v>69</v>
      </c>
      <c r="D23" s="78">
        <v>4.44</v>
      </c>
      <c r="E23" s="79">
        <f>4*(LOOKUP(D23,Performance!$A$1:$A$123,Performance!$B$1:$B$123)+0.045)</f>
        <v>4.500000000000044</v>
      </c>
      <c r="F23" s="75"/>
      <c r="G23" s="76"/>
      <c r="H23" s="74">
        <v>5</v>
      </c>
      <c r="J23" s="75">
        <v>4.54</v>
      </c>
      <c r="K23" s="76">
        <f>$J$8*(LOOKUP(J23,Performance!$A$1:$A$123,Performance!$B$1:$B$123)+0.045)</f>
        <v>22.682500000000257</v>
      </c>
      <c r="L23" s="78">
        <v>5.11</v>
      </c>
      <c r="M23" s="79">
        <v>10</v>
      </c>
      <c r="N23" s="79"/>
      <c r="O23" s="74">
        <v>7</v>
      </c>
      <c r="P23" s="99">
        <v>7.5</v>
      </c>
      <c r="Q23" s="75">
        <v>5.07</v>
      </c>
      <c r="R23" s="76">
        <f>21.1*1.01</f>
        <v>21.311</v>
      </c>
      <c r="S23" s="76"/>
      <c r="T23" s="78"/>
      <c r="U23" s="79"/>
      <c r="V23" s="74"/>
      <c r="W23" s="74"/>
      <c r="X23" s="76"/>
      <c r="Y23" s="76"/>
      <c r="Z23" s="79"/>
      <c r="AA23" s="79"/>
      <c r="AB23" s="76"/>
      <c r="AC23" s="76"/>
      <c r="AD23" s="117"/>
      <c r="AE23" s="76"/>
      <c r="AF23" s="76"/>
      <c r="AG23" s="79"/>
      <c r="AH23" s="117"/>
      <c r="AI23" s="76"/>
      <c r="AJ23" s="143"/>
      <c r="AK23" s="79"/>
      <c r="AL23" s="117"/>
      <c r="AM23" s="76">
        <v>4.56</v>
      </c>
      <c r="AN23" s="76">
        <f>8.5*(LOOKUP(AM23,Performance!$A$1:$A$123,Performance!$B$1:$B$123)+0.045)</f>
        <v>9.052500000000105</v>
      </c>
      <c r="AO23" s="79"/>
      <c r="AP23" s="79"/>
      <c r="AQ23" s="76">
        <v>10</v>
      </c>
      <c r="AR23" s="74"/>
      <c r="AS23" s="76"/>
      <c r="AT23" s="79"/>
      <c r="AU23" s="117"/>
      <c r="AV23" s="76"/>
      <c r="AW23" s="143"/>
      <c r="AX23" s="74"/>
      <c r="AY23" s="117"/>
      <c r="AZ23" s="26">
        <f t="shared" si="0"/>
        <v>97.0460000000004</v>
      </c>
    </row>
    <row r="24" spans="2:52" ht="15" customHeight="1">
      <c r="B24" s="57" t="s">
        <v>15</v>
      </c>
      <c r="C24" s="6" t="s">
        <v>66</v>
      </c>
      <c r="D24" s="78"/>
      <c r="E24" s="79"/>
      <c r="F24" s="75">
        <v>4.32</v>
      </c>
      <c r="G24" s="76">
        <f>$J$8*(LOOKUP(F24,Performance!$A$1:$A$123,Performance!$B$1:$B$123)+0.045)</f>
        <v>25.00350000000021</v>
      </c>
      <c r="H24" s="74"/>
      <c r="J24" s="75">
        <v>4.25</v>
      </c>
      <c r="K24" s="76">
        <f>$J$8*(LOOKUP(J24,Performance!$A$1:$A$123,Performance!$B$1:$B$123)+0.045)</f>
        <v>25.742000000000193</v>
      </c>
      <c r="L24" s="79"/>
      <c r="M24" s="79"/>
      <c r="N24" s="79"/>
      <c r="O24" s="74">
        <v>7</v>
      </c>
      <c r="Q24" s="75">
        <v>4.33</v>
      </c>
      <c r="R24" s="76">
        <f>$J$8*(LOOKUP(Q24,Performance!$A$1:$A$123,Performance!$B$1:$B$123)+0.045)</f>
        <v>24.898000000000213</v>
      </c>
      <c r="S24" s="76"/>
      <c r="T24" s="79"/>
      <c r="U24" s="79"/>
      <c r="V24" s="74"/>
      <c r="W24" s="74"/>
      <c r="X24" s="76"/>
      <c r="Y24" s="76"/>
      <c r="Z24" s="78">
        <v>4.4</v>
      </c>
      <c r="AA24" s="79">
        <f>$T$8*(LOOKUP(Z24,Performance!$A$1:$A$123,Performance!$B$1:$B$123)+0.045)</f>
        <v>11.450000000000106</v>
      </c>
      <c r="AB24" s="76"/>
      <c r="AC24" s="76"/>
      <c r="AD24" s="117"/>
      <c r="AE24" s="76"/>
      <c r="AF24" s="76"/>
      <c r="AG24" s="79"/>
      <c r="AH24" s="117"/>
      <c r="AI24" s="76"/>
      <c r="AJ24" s="143"/>
      <c r="AK24" s="79"/>
      <c r="AL24" s="117"/>
      <c r="AM24" s="76"/>
      <c r="AN24" s="143"/>
      <c r="AO24" s="79"/>
      <c r="AP24" s="79"/>
      <c r="AQ24" s="76"/>
      <c r="AR24" s="74"/>
      <c r="AS24" s="76"/>
      <c r="AT24" s="79"/>
      <c r="AU24" s="117"/>
      <c r="AV24" s="76"/>
      <c r="AW24" s="143"/>
      <c r="AX24" s="74"/>
      <c r="AY24" s="117"/>
      <c r="AZ24" s="26">
        <f t="shared" si="0"/>
        <v>94.09350000000072</v>
      </c>
    </row>
    <row r="25" spans="2:52" ht="15" customHeight="1">
      <c r="B25" s="57" t="s">
        <v>16</v>
      </c>
      <c r="C25" s="6" t="s">
        <v>68</v>
      </c>
      <c r="D25" s="78"/>
      <c r="E25" s="79"/>
      <c r="F25" s="75"/>
      <c r="G25" s="76">
        <v>5</v>
      </c>
      <c r="H25" s="74">
        <v>5</v>
      </c>
      <c r="J25" s="75">
        <v>5.52</v>
      </c>
      <c r="K25" s="76">
        <f>$J$8*LOOKUP(J25,Performance!A11:A131,Performance!B11:B131)</f>
        <v>21.1</v>
      </c>
      <c r="L25" s="79"/>
      <c r="M25" s="79"/>
      <c r="N25" s="79"/>
      <c r="O25" s="74">
        <v>7</v>
      </c>
      <c r="P25" s="99">
        <v>7.5</v>
      </c>
      <c r="Q25" s="75"/>
      <c r="R25" s="76"/>
      <c r="S25" s="76"/>
      <c r="T25" s="79"/>
      <c r="U25" s="79"/>
      <c r="V25" s="74">
        <v>5</v>
      </c>
      <c r="W25" s="74"/>
      <c r="X25" s="76"/>
      <c r="Y25" s="76"/>
      <c r="Z25" s="86">
        <v>5.3</v>
      </c>
      <c r="AA25" s="79">
        <f>$L$8*LOOKUP(Z25,Performance!$A$1:$A$123,Performance!$B$1:$B$123)</f>
        <v>10</v>
      </c>
      <c r="AB25" s="76">
        <v>5.38</v>
      </c>
      <c r="AC25" s="76">
        <v>10</v>
      </c>
      <c r="AD25" s="117"/>
      <c r="AE25" s="76">
        <v>5.28</v>
      </c>
      <c r="AF25" s="76">
        <v>12.6</v>
      </c>
      <c r="AG25" s="79"/>
      <c r="AH25" s="117"/>
      <c r="AI25" s="76"/>
      <c r="AJ25" s="143"/>
      <c r="AK25" s="79">
        <v>5.15</v>
      </c>
      <c r="AL25" s="79">
        <f>10*(LOOKUP(AK25,Performance!$A$1:$A$123,Performance!$B$1:$B$123)+0.045)</f>
        <v>10.45</v>
      </c>
      <c r="AM25" s="76"/>
      <c r="AN25" s="143"/>
      <c r="AO25" s="79"/>
      <c r="AP25" s="79"/>
      <c r="AQ25" s="76"/>
      <c r="AR25" s="74"/>
      <c r="AS25" s="76"/>
      <c r="AT25" s="79"/>
      <c r="AU25" s="79"/>
      <c r="AV25" s="76"/>
      <c r="AW25" s="143"/>
      <c r="AX25" s="74"/>
      <c r="AY25" s="79"/>
      <c r="AZ25" s="26">
        <f t="shared" si="0"/>
        <v>93.64999999999999</v>
      </c>
    </row>
    <row r="26" spans="2:52" ht="15">
      <c r="B26" s="57" t="s">
        <v>17</v>
      </c>
      <c r="C26" s="6" t="s">
        <v>77</v>
      </c>
      <c r="D26" s="78"/>
      <c r="E26" s="79"/>
      <c r="F26" s="75"/>
      <c r="G26" s="76">
        <v>5</v>
      </c>
      <c r="H26" s="74">
        <v>5</v>
      </c>
      <c r="J26" s="75"/>
      <c r="K26" s="76">
        <v>5</v>
      </c>
      <c r="L26" s="78">
        <v>5.37</v>
      </c>
      <c r="M26" s="79">
        <v>10</v>
      </c>
      <c r="N26" s="79"/>
      <c r="O26" s="74">
        <v>7</v>
      </c>
      <c r="P26" s="99">
        <v>7.5</v>
      </c>
      <c r="Q26" s="75"/>
      <c r="R26" s="76"/>
      <c r="S26" s="76"/>
      <c r="T26" s="78"/>
      <c r="U26" s="79"/>
      <c r="V26" s="74"/>
      <c r="W26" s="74"/>
      <c r="X26" s="76"/>
      <c r="Y26" s="76"/>
      <c r="Z26" s="86">
        <v>5.25</v>
      </c>
      <c r="AA26" s="79">
        <f>$L$8*LOOKUP(Z26,Performance!$A$1:$A$123,Performance!$B$1:$B$123)</f>
        <v>10</v>
      </c>
      <c r="AB26" s="76"/>
      <c r="AC26" s="76"/>
      <c r="AD26" s="117"/>
      <c r="AE26" s="76">
        <v>5.4</v>
      </c>
      <c r="AF26" s="76">
        <v>12.6</v>
      </c>
      <c r="AG26" s="79"/>
      <c r="AH26" s="117"/>
      <c r="AI26" s="76">
        <v>5.267</v>
      </c>
      <c r="AJ26" s="76">
        <v>10</v>
      </c>
      <c r="AK26" s="79"/>
      <c r="AL26" s="79"/>
      <c r="AM26" s="76">
        <v>5.12</v>
      </c>
      <c r="AN26" s="76">
        <v>8.5</v>
      </c>
      <c r="AO26" s="79">
        <v>5.35</v>
      </c>
      <c r="AP26" s="79">
        <v>11</v>
      </c>
      <c r="AQ26" s="76"/>
      <c r="AR26" s="74"/>
      <c r="AS26" s="76"/>
      <c r="AT26" s="79"/>
      <c r="AU26" s="79"/>
      <c r="AV26" s="76"/>
      <c r="AW26" s="143"/>
      <c r="AX26" s="74"/>
      <c r="AY26" s="79"/>
      <c r="AZ26" s="26">
        <f t="shared" si="0"/>
        <v>91.6</v>
      </c>
    </row>
    <row r="27" spans="2:52" ht="15">
      <c r="B27" s="57" t="s">
        <v>18</v>
      </c>
      <c r="C27" s="6" t="s">
        <v>71</v>
      </c>
      <c r="D27" s="78"/>
      <c r="E27" s="79"/>
      <c r="F27" s="75"/>
      <c r="G27" s="76">
        <v>5</v>
      </c>
      <c r="H27" s="74"/>
      <c r="J27" s="75"/>
      <c r="K27" s="76"/>
      <c r="L27" s="79"/>
      <c r="M27" s="79"/>
      <c r="N27" s="79"/>
      <c r="O27" s="74"/>
      <c r="Q27" s="75"/>
      <c r="R27" s="76"/>
      <c r="S27" s="76"/>
      <c r="T27" s="86">
        <v>4.42</v>
      </c>
      <c r="U27" s="79">
        <f>$L$8*LOOKUP(T27,Performance!$A$1:$A$123,Performance!$B$1:$B$123)</f>
        <v>10.900000000000109</v>
      </c>
      <c r="V27" s="74"/>
      <c r="W27" s="74">
        <v>5</v>
      </c>
      <c r="X27" s="76"/>
      <c r="Y27" s="76"/>
      <c r="Z27" s="86">
        <v>4.23</v>
      </c>
      <c r="AA27" s="79">
        <f>$L$8*LOOKUP(Z27,Performance!$A$1:$A$123,Performance!$B$1:$B$123)</f>
        <v>11.85000000000009</v>
      </c>
      <c r="AB27" s="76"/>
      <c r="AC27" s="76"/>
      <c r="AD27" s="117"/>
      <c r="AE27" s="76">
        <v>4.27</v>
      </c>
      <c r="AF27" s="76">
        <f>$AE$8*LOOKUP(AE27,Performance!$A$1:$A$123,Performance!$B$1:$B$123)</f>
        <v>14.679000000000118</v>
      </c>
      <c r="AG27" s="79"/>
      <c r="AH27" s="117"/>
      <c r="AI27" s="76">
        <v>4.17</v>
      </c>
      <c r="AJ27" s="76">
        <f>$AI$8*LOOKUP(AI27,Performance!$A$1:$A$123,Performance!$B$1:$B$123)</f>
        <v>12.150000000000084</v>
      </c>
      <c r="AK27" s="79"/>
      <c r="AL27" s="79"/>
      <c r="AM27" s="76">
        <v>4.21</v>
      </c>
      <c r="AN27" s="76">
        <f>$AM$8*LOOKUP(AM27,Performance!$A$1:$A$123,Performance!$B$1:$B$123)</f>
        <v>10.157500000000073</v>
      </c>
      <c r="AO27" s="79"/>
      <c r="AP27" s="79"/>
      <c r="AQ27" s="76"/>
      <c r="AR27" s="74"/>
      <c r="AS27" s="76"/>
      <c r="AT27" s="79"/>
      <c r="AU27" s="79"/>
      <c r="AV27" s="76"/>
      <c r="AW27" s="143"/>
      <c r="AX27" s="74"/>
      <c r="AY27" s="79"/>
      <c r="AZ27" s="26">
        <f t="shared" si="0"/>
        <v>69.73650000000048</v>
      </c>
    </row>
    <row r="28" spans="2:52" ht="15">
      <c r="B28" s="57" t="s">
        <v>19</v>
      </c>
      <c r="C28" s="6" t="s">
        <v>144</v>
      </c>
      <c r="D28" s="78"/>
      <c r="E28" s="79"/>
      <c r="F28" s="75"/>
      <c r="G28" s="76"/>
      <c r="H28" s="74"/>
      <c r="I28" s="4"/>
      <c r="J28" s="75"/>
      <c r="K28" s="76"/>
      <c r="L28" s="79"/>
      <c r="M28" s="79"/>
      <c r="N28" s="79"/>
      <c r="O28" s="74"/>
      <c r="P28" s="4"/>
      <c r="Q28" s="75"/>
      <c r="R28" s="76"/>
      <c r="S28" s="76"/>
      <c r="T28" s="79"/>
      <c r="U28" s="79"/>
      <c r="V28" s="74"/>
      <c r="W28" s="74"/>
      <c r="X28" s="76"/>
      <c r="Y28" s="76"/>
      <c r="Z28" s="79"/>
      <c r="AA28" s="79">
        <v>5</v>
      </c>
      <c r="AB28" s="141">
        <v>4.31</v>
      </c>
      <c r="AC28" s="76">
        <f>$L$8*LOOKUP(AB28,Performance!$A$1:$A$123,Performance!$B$1:$B$123+0.09)</f>
        <v>12.3500000000001</v>
      </c>
      <c r="AD28" s="117"/>
      <c r="AE28" s="76"/>
      <c r="AF28" s="76"/>
      <c r="AG28" s="79"/>
      <c r="AH28" s="117"/>
      <c r="AI28" s="76">
        <v>5.178</v>
      </c>
      <c r="AJ28" s="76">
        <v>10.01</v>
      </c>
      <c r="AK28" s="79"/>
      <c r="AL28" s="122">
        <v>5.5</v>
      </c>
      <c r="AM28" s="76"/>
      <c r="AN28" s="76"/>
      <c r="AO28" s="79">
        <v>5.34</v>
      </c>
      <c r="AP28" s="79">
        <v>11</v>
      </c>
      <c r="AQ28" s="76">
        <v>10</v>
      </c>
      <c r="AR28" s="74"/>
      <c r="AS28" s="76"/>
      <c r="AT28" s="79">
        <v>5.3</v>
      </c>
      <c r="AU28" s="83">
        <v>10</v>
      </c>
      <c r="AV28" s="76"/>
      <c r="AW28" s="145"/>
      <c r="AX28" s="74"/>
      <c r="AY28" s="122"/>
      <c r="AZ28" s="26">
        <f t="shared" si="0"/>
        <v>63.8600000000001</v>
      </c>
    </row>
    <row r="29" spans="2:52" ht="15">
      <c r="B29" s="57" t="s">
        <v>20</v>
      </c>
      <c r="C29" s="6" t="s">
        <v>178</v>
      </c>
      <c r="D29" s="78"/>
      <c r="E29" s="79"/>
      <c r="F29" s="75"/>
      <c r="G29" s="76"/>
      <c r="H29" s="74"/>
      <c r="J29" s="75"/>
      <c r="K29" s="76"/>
      <c r="L29" s="78">
        <v>4.39</v>
      </c>
      <c r="M29" s="79">
        <f>$L$8*LOOKUP(L29,Performance!$A$1:$A$121,Performance!$B$1:$B$121)</f>
        <v>11.050000000000107</v>
      </c>
      <c r="N29" s="79"/>
      <c r="O29" s="74">
        <v>7</v>
      </c>
      <c r="P29" s="99">
        <v>7.5</v>
      </c>
      <c r="Q29" s="75"/>
      <c r="R29" s="76"/>
      <c r="S29" s="76"/>
      <c r="T29" s="78"/>
      <c r="U29" s="79"/>
      <c r="V29" s="74"/>
      <c r="W29" s="74"/>
      <c r="X29" s="76"/>
      <c r="Y29" s="76"/>
      <c r="Z29" s="79"/>
      <c r="AA29" s="79"/>
      <c r="AB29" s="76"/>
      <c r="AC29" s="76"/>
      <c r="AD29" s="117"/>
      <c r="AE29" s="76"/>
      <c r="AF29" s="76"/>
      <c r="AG29" s="79">
        <v>4.39</v>
      </c>
      <c r="AH29" s="79">
        <f>$AG$8*LOOKUP(AG29,Performance!$A$1:$A$123,Performance!$B$1:$B$123)</f>
        <v>13.260000000000128</v>
      </c>
      <c r="AI29" s="76"/>
      <c r="AJ29" s="76"/>
      <c r="AK29" s="79"/>
      <c r="AL29" s="122">
        <v>5.5</v>
      </c>
      <c r="AM29" s="76"/>
      <c r="AN29" s="76"/>
      <c r="AO29" s="79"/>
      <c r="AP29" s="79"/>
      <c r="AQ29" s="76"/>
      <c r="AR29" s="74"/>
      <c r="AS29" s="76"/>
      <c r="AT29" s="79">
        <v>4.59</v>
      </c>
      <c r="AU29" s="79">
        <f>10*LOOKUP(AT29,Performance!$A$1:$A$123,Performance!$B$1:$B$123)</f>
        <v>10.050000000000129</v>
      </c>
      <c r="AV29" s="76"/>
      <c r="AW29" s="76"/>
      <c r="AX29" s="74"/>
      <c r="AY29" s="122"/>
      <c r="AZ29" s="26">
        <f t="shared" si="0"/>
        <v>54.36000000000037</v>
      </c>
    </row>
    <row r="30" spans="2:52" ht="15">
      <c r="B30" s="57" t="s">
        <v>21</v>
      </c>
      <c r="C30" s="6" t="s">
        <v>118</v>
      </c>
      <c r="D30" s="78"/>
      <c r="E30" s="79"/>
      <c r="F30" s="75">
        <v>5.4</v>
      </c>
      <c r="G30" s="76">
        <v>21.1</v>
      </c>
      <c r="H30" s="74"/>
      <c r="J30" s="75"/>
      <c r="K30" s="76"/>
      <c r="L30" s="79"/>
      <c r="M30" s="79"/>
      <c r="N30" s="79"/>
      <c r="O30" s="74">
        <v>7</v>
      </c>
      <c r="Q30" s="75"/>
      <c r="R30" s="76"/>
      <c r="S30" s="76"/>
      <c r="T30" s="86">
        <v>4.46</v>
      </c>
      <c r="U30" s="79">
        <f>$L$8*(LOOKUP(T30,Performance!$A$1:$A$123,Performance!$B$1:$B$123)-0.045)</f>
        <v>10.250000000000114</v>
      </c>
      <c r="V30" s="74"/>
      <c r="W30" s="74"/>
      <c r="X30" s="76"/>
      <c r="Y30" s="76"/>
      <c r="Z30" s="79"/>
      <c r="AA30" s="79"/>
      <c r="AB30" s="76"/>
      <c r="AC30" s="76"/>
      <c r="AD30" s="117"/>
      <c r="AE30" s="76"/>
      <c r="AF30" s="76"/>
      <c r="AG30" s="79"/>
      <c r="AH30" s="117"/>
      <c r="AI30" s="76">
        <v>5.069</v>
      </c>
      <c r="AJ30" s="76">
        <v>10</v>
      </c>
      <c r="AK30" s="79"/>
      <c r="AL30" s="79"/>
      <c r="AM30" s="76"/>
      <c r="AN30" s="76"/>
      <c r="AO30" s="79"/>
      <c r="AP30" s="79"/>
      <c r="AQ30" s="76"/>
      <c r="AR30" s="74"/>
      <c r="AS30" s="76"/>
      <c r="AT30" s="79"/>
      <c r="AU30" s="79"/>
      <c r="AV30" s="76"/>
      <c r="AW30" s="143"/>
      <c r="AX30" s="74">
        <v>4.65</v>
      </c>
      <c r="AY30" s="79"/>
      <c r="AZ30" s="26">
        <f t="shared" si="0"/>
        <v>53.000000000000114</v>
      </c>
    </row>
    <row r="31" spans="2:52" ht="15">
      <c r="B31" s="57" t="s">
        <v>22</v>
      </c>
      <c r="C31" s="6" t="s">
        <v>78</v>
      </c>
      <c r="D31" s="78"/>
      <c r="E31" s="79"/>
      <c r="F31" s="75"/>
      <c r="G31" s="76"/>
      <c r="H31" s="74">
        <v>5</v>
      </c>
      <c r="J31" s="75"/>
      <c r="K31" s="76"/>
      <c r="L31" s="86">
        <v>4.48</v>
      </c>
      <c r="M31" s="79">
        <f>$L$8*LOOKUP(L31,Performance!$A$1:$A$123,Performance!$B$1:$B$123)</f>
        <v>10.600000000000115</v>
      </c>
      <c r="N31" s="79"/>
      <c r="O31" s="74"/>
      <c r="Q31" s="75"/>
      <c r="R31" s="76"/>
      <c r="S31" s="76"/>
      <c r="T31" s="86"/>
      <c r="U31" s="79"/>
      <c r="V31" s="74"/>
      <c r="W31" s="74">
        <v>5</v>
      </c>
      <c r="X31" s="76"/>
      <c r="Y31" s="76"/>
      <c r="Z31" s="79"/>
      <c r="AA31" s="79"/>
      <c r="AB31" s="76"/>
      <c r="AC31" s="76"/>
      <c r="AD31" s="117"/>
      <c r="AE31" s="76">
        <v>4.33</v>
      </c>
      <c r="AF31" s="76">
        <f>$AE$8*LOOKUP(AE31,Performance!$A$1:$A$123,Performance!$B$1:$B$123)</f>
        <v>14.301000000000126</v>
      </c>
      <c r="AG31" s="79"/>
      <c r="AH31" s="117"/>
      <c r="AI31" s="76"/>
      <c r="AJ31" s="143"/>
      <c r="AK31" s="79">
        <v>3.28</v>
      </c>
      <c r="AL31" s="79">
        <f>1.5*1.46</f>
        <v>2.19</v>
      </c>
      <c r="AM31" s="76">
        <v>4.13</v>
      </c>
      <c r="AN31" s="76">
        <f>$AM$8*LOOKUP(AM31,Performance!$A$1:$A$123,Performance!$B$1:$B$123)</f>
        <v>10.497500000000066</v>
      </c>
      <c r="AO31" s="79"/>
      <c r="AP31" s="79"/>
      <c r="AQ31" s="76"/>
      <c r="AR31" s="74"/>
      <c r="AS31" s="76"/>
      <c r="AT31" s="79"/>
      <c r="AU31" s="79"/>
      <c r="AV31" s="76"/>
      <c r="AW31" s="143"/>
      <c r="AX31" s="74"/>
      <c r="AY31" s="79"/>
      <c r="AZ31" s="26">
        <f t="shared" si="0"/>
        <v>47.5885000000003</v>
      </c>
    </row>
    <row r="32" spans="2:52" ht="15">
      <c r="B32" s="57" t="s">
        <v>23</v>
      </c>
      <c r="C32" s="6" t="s">
        <v>104</v>
      </c>
      <c r="D32" s="95"/>
      <c r="E32" s="95"/>
      <c r="F32" s="94"/>
      <c r="G32" s="94"/>
      <c r="J32" s="94"/>
      <c r="K32" s="94"/>
      <c r="L32" s="92"/>
      <c r="M32" s="93"/>
      <c r="N32" s="96">
        <v>42.2</v>
      </c>
      <c r="Q32" s="94"/>
      <c r="R32" s="94"/>
      <c r="S32" s="94"/>
      <c r="T32" s="92"/>
      <c r="U32" s="93"/>
      <c r="V32" s="97"/>
      <c r="W32" s="97"/>
      <c r="X32" s="94"/>
      <c r="Y32" s="94"/>
      <c r="Z32" s="95"/>
      <c r="AA32" s="95"/>
      <c r="AB32" s="94"/>
      <c r="AC32" s="94"/>
      <c r="AD32" s="117"/>
      <c r="AE32" s="94"/>
      <c r="AF32" s="94"/>
      <c r="AG32" s="95"/>
      <c r="AH32" s="117"/>
      <c r="AI32" s="94"/>
      <c r="AJ32" s="143"/>
      <c r="AK32" s="95"/>
      <c r="AL32" s="117"/>
      <c r="AM32" s="76"/>
      <c r="AN32" s="143"/>
      <c r="AO32" s="95"/>
      <c r="AP32" s="95"/>
      <c r="AQ32" s="94"/>
      <c r="AR32" s="97"/>
      <c r="AS32" s="94"/>
      <c r="AT32" s="95"/>
      <c r="AU32" s="117"/>
      <c r="AV32" s="94"/>
      <c r="AW32" s="143"/>
      <c r="AX32" s="74">
        <v>4.65</v>
      </c>
      <c r="AY32" s="117"/>
      <c r="AZ32" s="26">
        <f t="shared" si="0"/>
        <v>46.85</v>
      </c>
    </row>
    <row r="33" spans="2:52" ht="15">
      <c r="B33" s="57" t="s">
        <v>24</v>
      </c>
      <c r="C33" s="6" t="s">
        <v>146</v>
      </c>
      <c r="D33" s="78"/>
      <c r="E33" s="79"/>
      <c r="F33" s="75"/>
      <c r="G33" s="76"/>
      <c r="H33" s="74"/>
      <c r="J33" s="75"/>
      <c r="K33" s="76"/>
      <c r="L33" s="83"/>
      <c r="M33" s="79"/>
      <c r="N33" s="79"/>
      <c r="Q33" s="75"/>
      <c r="R33" s="76"/>
      <c r="S33" s="76"/>
      <c r="T33" s="83"/>
      <c r="U33" s="79"/>
      <c r="V33" s="74"/>
      <c r="W33" s="74"/>
      <c r="X33" s="76"/>
      <c r="Y33" s="76"/>
      <c r="Z33" s="79"/>
      <c r="AA33" s="79"/>
      <c r="AB33" s="94">
        <v>6.53</v>
      </c>
      <c r="AC33" s="76">
        <v>10</v>
      </c>
      <c r="AD33" s="117"/>
      <c r="AE33" s="76"/>
      <c r="AF33" s="76"/>
      <c r="AG33" s="79"/>
      <c r="AH33" s="117"/>
      <c r="AI33" s="76">
        <v>5.59</v>
      </c>
      <c r="AJ33" s="76">
        <v>10</v>
      </c>
      <c r="AK33" s="79"/>
      <c r="AL33" s="79"/>
      <c r="AM33" s="76"/>
      <c r="AN33" s="76"/>
      <c r="AO33" s="79"/>
      <c r="AP33" s="79"/>
      <c r="AQ33" s="76"/>
      <c r="AR33" s="74"/>
      <c r="AS33" s="76"/>
      <c r="AT33" s="79"/>
      <c r="AU33" s="79"/>
      <c r="AV33" s="76">
        <v>7.3</v>
      </c>
      <c r="AW33" s="145">
        <v>13.5</v>
      </c>
      <c r="AX33" s="74">
        <v>4.65</v>
      </c>
      <c r="AY33" s="79"/>
      <c r="AZ33" s="26">
        <f t="shared" si="0"/>
        <v>38.15</v>
      </c>
    </row>
    <row r="34" spans="2:52" ht="15">
      <c r="B34" s="57" t="s">
        <v>25</v>
      </c>
      <c r="C34" s="6" t="s">
        <v>75</v>
      </c>
      <c r="D34" s="78"/>
      <c r="E34" s="79"/>
      <c r="F34" s="75"/>
      <c r="G34" s="76"/>
      <c r="H34" s="74"/>
      <c r="J34" s="75">
        <v>4.33</v>
      </c>
      <c r="K34" s="76">
        <f>$J$8*(LOOKUP(J34,Performance!$A$1:$A$123,Performance!$B$1:$B$123)-0.045)</f>
        <v>22.999000000000215</v>
      </c>
      <c r="L34" s="79"/>
      <c r="M34" s="79"/>
      <c r="N34" s="79"/>
      <c r="O34" s="74"/>
      <c r="Q34" s="75"/>
      <c r="R34" s="76"/>
      <c r="S34" s="76"/>
      <c r="T34" s="79"/>
      <c r="U34" s="79"/>
      <c r="V34" s="74"/>
      <c r="W34" s="74"/>
      <c r="X34" s="76"/>
      <c r="Y34" s="76"/>
      <c r="Z34" s="79"/>
      <c r="AA34" s="79"/>
      <c r="AB34" s="76"/>
      <c r="AC34" s="76"/>
      <c r="AD34" s="117"/>
      <c r="AE34" s="76"/>
      <c r="AF34" s="76"/>
      <c r="AG34" s="79"/>
      <c r="AH34" s="117"/>
      <c r="AI34" s="76"/>
      <c r="AJ34" s="143"/>
      <c r="AK34" s="79"/>
      <c r="AL34" s="117"/>
      <c r="AM34" s="76">
        <v>4.29</v>
      </c>
      <c r="AN34" s="76">
        <f>$AM$8*LOOKUP(AM34,Performance!$A$1:$A$123,Performance!$B$1:$B$123-0.045)</f>
        <v>9.435000000000082</v>
      </c>
      <c r="AO34" s="79"/>
      <c r="AP34" s="79"/>
      <c r="AQ34" s="76"/>
      <c r="AR34" s="74"/>
      <c r="AS34" s="76"/>
      <c r="AT34" s="79"/>
      <c r="AU34" s="117"/>
      <c r="AV34" s="76"/>
      <c r="AW34" s="143"/>
      <c r="AX34" s="74">
        <v>4.65</v>
      </c>
      <c r="AY34" s="117"/>
      <c r="AZ34" s="26">
        <f t="shared" si="0"/>
        <v>37.084000000000295</v>
      </c>
    </row>
    <row r="35" spans="2:52" ht="15">
      <c r="B35" s="57" t="s">
        <v>26</v>
      </c>
      <c r="C35" s="6" t="s">
        <v>153</v>
      </c>
      <c r="D35" s="78"/>
      <c r="E35" s="79"/>
      <c r="F35" s="75"/>
      <c r="G35" s="76"/>
      <c r="H35" s="74"/>
      <c r="I35" s="4"/>
      <c r="J35" s="75"/>
      <c r="K35" s="76"/>
      <c r="L35" s="79"/>
      <c r="M35" s="79"/>
      <c r="N35" s="79"/>
      <c r="O35" s="74"/>
      <c r="P35" s="4"/>
      <c r="Q35" s="75"/>
      <c r="R35" s="76"/>
      <c r="S35" s="76"/>
      <c r="T35" s="79"/>
      <c r="U35" s="79"/>
      <c r="V35" s="74"/>
      <c r="W35" s="74"/>
      <c r="X35" s="76"/>
      <c r="Y35" s="76"/>
      <c r="Z35" s="79"/>
      <c r="AA35" s="79"/>
      <c r="AB35" s="76"/>
      <c r="AC35" s="76"/>
      <c r="AD35" s="118"/>
      <c r="AE35" s="76">
        <v>6</v>
      </c>
      <c r="AF35" s="76">
        <v>12.6</v>
      </c>
      <c r="AG35" s="79">
        <v>6.28</v>
      </c>
      <c r="AH35" s="79">
        <v>12</v>
      </c>
      <c r="AI35" s="76"/>
      <c r="AJ35" s="76"/>
      <c r="AK35" s="79"/>
      <c r="AL35" s="79"/>
      <c r="AM35" s="76"/>
      <c r="AN35" s="76"/>
      <c r="AO35" s="79"/>
      <c r="AP35" s="79"/>
      <c r="AQ35" s="76"/>
      <c r="AR35" s="74"/>
      <c r="AS35" s="76">
        <v>5.7</v>
      </c>
      <c r="AT35" s="79"/>
      <c r="AU35" s="79"/>
      <c r="AV35" s="76"/>
      <c r="AW35" s="76"/>
      <c r="AX35" s="74">
        <v>4.65</v>
      </c>
      <c r="AY35" s="79"/>
      <c r="AZ35" s="26">
        <f t="shared" si="0"/>
        <v>34.95</v>
      </c>
    </row>
    <row r="36" spans="2:52" ht="15">
      <c r="B36" s="57" t="s">
        <v>99</v>
      </c>
      <c r="C36" s="6" t="s">
        <v>129</v>
      </c>
      <c r="D36" s="95"/>
      <c r="E36" s="95"/>
      <c r="F36" s="94"/>
      <c r="G36" s="94"/>
      <c r="J36" s="94"/>
      <c r="K36" s="94"/>
      <c r="L36" s="92"/>
      <c r="M36" s="93"/>
      <c r="N36" s="93"/>
      <c r="O36" s="99">
        <v>7</v>
      </c>
      <c r="P36" s="99"/>
      <c r="Q36" s="94"/>
      <c r="R36" s="94"/>
      <c r="S36" s="94"/>
      <c r="T36" s="92"/>
      <c r="U36" s="93"/>
      <c r="V36" s="97"/>
      <c r="W36" s="97"/>
      <c r="X36" s="94"/>
      <c r="Y36" s="94"/>
      <c r="Z36" s="95"/>
      <c r="AA36" s="95"/>
      <c r="AB36" s="94"/>
      <c r="AC36" s="94"/>
      <c r="AD36" s="117"/>
      <c r="AE36" s="94"/>
      <c r="AF36" s="94"/>
      <c r="AG36" s="95">
        <v>5.23</v>
      </c>
      <c r="AH36" s="79">
        <v>12</v>
      </c>
      <c r="AI36" s="76">
        <v>5.005</v>
      </c>
      <c r="AJ36" s="76">
        <v>10.85</v>
      </c>
      <c r="AK36" s="79"/>
      <c r="AL36" s="79"/>
      <c r="AM36" s="76"/>
      <c r="AN36" s="76"/>
      <c r="AO36" s="79"/>
      <c r="AP36" s="79"/>
      <c r="AQ36" s="76"/>
      <c r="AR36" s="74"/>
      <c r="AS36" s="76"/>
      <c r="AT36" s="79"/>
      <c r="AU36" s="79"/>
      <c r="AV36" s="94"/>
      <c r="AW36" s="76"/>
      <c r="AX36" s="74">
        <v>4.65</v>
      </c>
      <c r="AY36" s="79"/>
      <c r="AZ36" s="26">
        <f t="shared" si="0"/>
        <v>34.5</v>
      </c>
    </row>
    <row r="37" spans="2:52" ht="15">
      <c r="B37" s="57" t="s">
        <v>100</v>
      </c>
      <c r="C37" s="6" t="s">
        <v>119</v>
      </c>
      <c r="D37" s="78"/>
      <c r="E37" s="79"/>
      <c r="F37" s="75">
        <v>5.38</v>
      </c>
      <c r="G37" s="76">
        <v>21.1</v>
      </c>
      <c r="H37" s="74"/>
      <c r="J37" s="75"/>
      <c r="K37" s="76"/>
      <c r="L37" s="79"/>
      <c r="M37" s="79"/>
      <c r="N37" s="79"/>
      <c r="O37" s="74"/>
      <c r="Q37" s="75"/>
      <c r="R37" s="76"/>
      <c r="S37" s="76"/>
      <c r="T37" s="79"/>
      <c r="U37" s="79"/>
      <c r="V37" s="74"/>
      <c r="W37" s="74"/>
      <c r="X37" s="76"/>
      <c r="Y37" s="76"/>
      <c r="Z37" s="79"/>
      <c r="AA37" s="79"/>
      <c r="AB37" s="76"/>
      <c r="AC37" s="76"/>
      <c r="AD37" s="117"/>
      <c r="AE37" s="76"/>
      <c r="AF37" s="76"/>
      <c r="AG37" s="79"/>
      <c r="AH37" s="117"/>
      <c r="AI37" s="76"/>
      <c r="AJ37" s="143"/>
      <c r="AK37" s="79"/>
      <c r="AL37" s="117"/>
      <c r="AM37" s="76"/>
      <c r="AN37" s="143"/>
      <c r="AO37" s="79"/>
      <c r="AP37" s="79"/>
      <c r="AQ37" s="76"/>
      <c r="AR37" s="74"/>
      <c r="AS37" s="76"/>
      <c r="AT37" s="79"/>
      <c r="AU37" s="117"/>
      <c r="AV37" s="76"/>
      <c r="AW37" s="143"/>
      <c r="AX37" s="74">
        <v>4.65</v>
      </c>
      <c r="AY37" s="117"/>
      <c r="AZ37" s="26">
        <f t="shared" si="0"/>
        <v>25.75</v>
      </c>
    </row>
    <row r="38" spans="2:52" ht="15">
      <c r="B38" s="57" t="s">
        <v>101</v>
      </c>
      <c r="C38" s="6" t="s">
        <v>90</v>
      </c>
      <c r="D38" s="78"/>
      <c r="E38" s="79"/>
      <c r="F38" s="75"/>
      <c r="G38" s="76"/>
      <c r="H38" s="74"/>
      <c r="J38" s="75"/>
      <c r="K38" s="76"/>
      <c r="L38" s="83" t="s">
        <v>92</v>
      </c>
      <c r="M38" s="79"/>
      <c r="N38" s="79"/>
      <c r="O38" s="74">
        <v>7</v>
      </c>
      <c r="P38" s="99">
        <v>7.5</v>
      </c>
      <c r="Q38" s="75"/>
      <c r="R38" s="76"/>
      <c r="S38" s="76"/>
      <c r="T38" s="83"/>
      <c r="U38" s="79"/>
      <c r="V38" s="74"/>
      <c r="W38" s="74"/>
      <c r="X38" s="76"/>
      <c r="Y38" s="76"/>
      <c r="Z38" s="79"/>
      <c r="AA38" s="79"/>
      <c r="AB38" s="76"/>
      <c r="AC38" s="76"/>
      <c r="AD38" s="117"/>
      <c r="AE38" s="76"/>
      <c r="AF38" s="76"/>
      <c r="AG38" s="79"/>
      <c r="AH38" s="117"/>
      <c r="AI38" s="76"/>
      <c r="AJ38" s="143"/>
      <c r="AK38" s="79"/>
      <c r="AL38" s="122">
        <v>5.5</v>
      </c>
      <c r="AM38" s="76"/>
      <c r="AN38" s="143"/>
      <c r="AO38" s="79"/>
      <c r="AP38" s="79"/>
      <c r="AQ38" s="76"/>
      <c r="AR38" s="74"/>
      <c r="AS38" s="76"/>
      <c r="AT38" s="79"/>
      <c r="AU38" s="122"/>
      <c r="AV38" s="76"/>
      <c r="AW38" s="143"/>
      <c r="AX38" s="74"/>
      <c r="AY38" s="122"/>
      <c r="AZ38" s="26">
        <f t="shared" si="0"/>
        <v>20</v>
      </c>
    </row>
    <row r="39" spans="2:52" ht="15">
      <c r="B39" s="57" t="s">
        <v>102</v>
      </c>
      <c r="C39" s="6" t="s">
        <v>72</v>
      </c>
      <c r="D39" s="78"/>
      <c r="E39" s="79"/>
      <c r="F39" s="75"/>
      <c r="G39" s="76"/>
      <c r="H39" s="74"/>
      <c r="I39" s="4">
        <v>6</v>
      </c>
      <c r="J39" s="75"/>
      <c r="K39" s="76"/>
      <c r="L39" s="79"/>
      <c r="M39" s="79"/>
      <c r="N39" s="79"/>
      <c r="O39" s="74"/>
      <c r="P39" s="4"/>
      <c r="Q39" s="75"/>
      <c r="R39" s="76"/>
      <c r="S39" s="76"/>
      <c r="T39" s="79"/>
      <c r="U39" s="79"/>
      <c r="V39" s="74"/>
      <c r="W39" s="74"/>
      <c r="X39" s="76"/>
      <c r="Y39" s="76"/>
      <c r="Z39" s="79"/>
      <c r="AA39" s="79"/>
      <c r="AB39" s="76"/>
      <c r="AC39" s="76"/>
      <c r="AD39" s="118"/>
      <c r="AE39" s="76"/>
      <c r="AF39" s="76"/>
      <c r="AG39" s="79"/>
      <c r="AH39" s="118"/>
      <c r="AI39" s="76"/>
      <c r="AJ39" s="145"/>
      <c r="AK39" s="79"/>
      <c r="AL39" s="118"/>
      <c r="AM39" s="76"/>
      <c r="AN39" s="145"/>
      <c r="AO39" s="79"/>
      <c r="AP39" s="79"/>
      <c r="AQ39" s="76"/>
      <c r="AR39" s="74"/>
      <c r="AS39" s="76"/>
      <c r="AT39" s="79"/>
      <c r="AU39" s="118"/>
      <c r="AV39" s="76"/>
      <c r="AW39" s="145"/>
      <c r="AX39" s="74">
        <v>4.5</v>
      </c>
      <c r="AY39" s="118"/>
      <c r="AZ39" s="26">
        <f t="shared" si="0"/>
        <v>10.5</v>
      </c>
    </row>
    <row r="40" spans="2:52" ht="34.5" customHeight="1">
      <c r="B40" s="57" t="s">
        <v>103</v>
      </c>
      <c r="AE40" s="230" t="s">
        <v>155</v>
      </c>
      <c r="AF40" s="230"/>
      <c r="AZ40" s="26">
        <f>K40+H40+G40+E40+M40+O40+I40+P40+N40+R40+S40+U40+V40+W40+Y40+AA40</f>
        <v>0</v>
      </c>
    </row>
    <row r="41" spans="2:31" ht="12.75">
      <c r="B41" s="6" t="s">
        <v>0</v>
      </c>
      <c r="C41" s="82" t="s">
        <v>88</v>
      </c>
      <c r="AE41" s="121"/>
    </row>
    <row r="42" ht="12.75">
      <c r="C42" s="27" t="s">
        <v>84</v>
      </c>
    </row>
    <row r="43" ht="12.75">
      <c r="C43" s="27" t="s">
        <v>43</v>
      </c>
    </row>
    <row r="44" ht="12.75">
      <c r="C44" s="27" t="s">
        <v>44</v>
      </c>
    </row>
    <row r="45" spans="2:52" ht="7.5" customHeight="1" thickBot="1">
      <c r="B45" s="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9"/>
      <c r="AE45" s="38"/>
      <c r="AF45" s="38"/>
      <c r="AG45" s="38"/>
      <c r="AH45" s="39"/>
      <c r="AI45" s="38"/>
      <c r="AJ45" s="39"/>
      <c r="AK45" s="38"/>
      <c r="AL45" s="39"/>
      <c r="AM45" s="39"/>
      <c r="AN45" s="39"/>
      <c r="AO45" s="38"/>
      <c r="AP45" s="38"/>
      <c r="AQ45" s="38"/>
      <c r="AR45" s="38"/>
      <c r="AS45" s="38"/>
      <c r="AT45" s="38"/>
      <c r="AU45" s="39"/>
      <c r="AV45" s="38"/>
      <c r="AW45" s="39"/>
      <c r="AX45" s="38"/>
      <c r="AY45" s="39"/>
      <c r="AZ45" s="40"/>
    </row>
    <row r="46" spans="2:52" ht="12.75">
      <c r="B46" s="28"/>
      <c r="C46" s="29"/>
      <c r="D46" s="63"/>
      <c r="E46" s="63"/>
      <c r="F46" s="63"/>
      <c r="G46" s="63"/>
      <c r="H46" s="63"/>
      <c r="I46" s="29"/>
      <c r="J46" s="63"/>
      <c r="K46" s="63"/>
      <c r="L46" s="63"/>
      <c r="M46" s="29"/>
      <c r="N46" s="29"/>
      <c r="O46" s="29"/>
      <c r="P46" s="29"/>
      <c r="Q46" s="63"/>
      <c r="R46" s="63"/>
      <c r="S46" s="63"/>
      <c r="T46" s="63"/>
      <c r="U46" s="29"/>
      <c r="V46" s="63"/>
      <c r="W46" s="63"/>
      <c r="X46" s="63"/>
      <c r="Y46" s="63"/>
      <c r="Z46" s="63"/>
      <c r="AA46" s="63"/>
      <c r="AB46" s="63"/>
      <c r="AC46" s="63"/>
      <c r="AD46" s="29"/>
      <c r="AE46" s="63"/>
      <c r="AF46" s="63"/>
      <c r="AG46" s="63"/>
      <c r="AH46" s="29"/>
      <c r="AI46" s="63"/>
      <c r="AJ46" s="29"/>
      <c r="AK46" s="63"/>
      <c r="AL46" s="29"/>
      <c r="AM46" s="29"/>
      <c r="AN46" s="29"/>
      <c r="AO46" s="63"/>
      <c r="AP46" s="63"/>
      <c r="AQ46" s="63"/>
      <c r="AR46" s="63"/>
      <c r="AS46" s="63"/>
      <c r="AT46" s="63"/>
      <c r="AU46" s="29"/>
      <c r="AV46" s="63"/>
      <c r="AW46" s="29"/>
      <c r="AX46" s="63"/>
      <c r="AY46" s="29"/>
      <c r="AZ46" s="30"/>
    </row>
    <row r="47" spans="2:52" ht="12.75">
      <c r="B47" s="42" t="s">
        <v>49</v>
      </c>
      <c r="C47" s="32"/>
      <c r="D47" s="23"/>
      <c r="E47" s="23"/>
      <c r="F47" s="23"/>
      <c r="G47" s="23"/>
      <c r="H47" s="23"/>
      <c r="I47" s="32"/>
      <c r="J47" s="23"/>
      <c r="K47" s="23"/>
      <c r="L47" s="23"/>
      <c r="M47" s="32"/>
      <c r="N47" s="32"/>
      <c r="O47" s="32"/>
      <c r="P47" s="32"/>
      <c r="Q47" s="23"/>
      <c r="R47" s="23"/>
      <c r="S47" s="23"/>
      <c r="T47" s="23"/>
      <c r="U47" s="32"/>
      <c r="V47" s="23"/>
      <c r="W47" s="23"/>
      <c r="X47" s="23"/>
      <c r="Y47" s="23"/>
      <c r="Z47" s="23"/>
      <c r="AA47" s="23"/>
      <c r="AB47" s="23"/>
      <c r="AC47" s="23"/>
      <c r="AD47" s="32"/>
      <c r="AE47" s="23"/>
      <c r="AF47" s="23"/>
      <c r="AG47" s="23"/>
      <c r="AH47" s="32"/>
      <c r="AI47" s="23"/>
      <c r="AJ47" s="32"/>
      <c r="AK47" s="23"/>
      <c r="AL47" s="32"/>
      <c r="AM47" s="32"/>
      <c r="AN47" s="32"/>
      <c r="AO47" s="23"/>
      <c r="AP47" s="23"/>
      <c r="AQ47" s="23"/>
      <c r="AR47" s="23"/>
      <c r="AS47" s="23"/>
      <c r="AT47" s="23"/>
      <c r="AU47" s="32"/>
      <c r="AV47" s="23"/>
      <c r="AW47" s="32"/>
      <c r="AX47" s="23"/>
      <c r="AY47" s="32"/>
      <c r="AZ47" s="33"/>
    </row>
    <row r="48" spans="2:54" ht="12.75">
      <c r="B48" s="31" t="s">
        <v>45</v>
      </c>
      <c r="C48" s="32"/>
      <c r="D48" s="23"/>
      <c r="E48" s="23"/>
      <c r="F48" s="23"/>
      <c r="G48" s="23"/>
      <c r="H48" s="23"/>
      <c r="I48" s="32"/>
      <c r="J48" s="23"/>
      <c r="K48" s="23"/>
      <c r="L48" s="23"/>
      <c r="M48" s="32"/>
      <c r="N48" s="32"/>
      <c r="O48" s="32"/>
      <c r="P48" s="32"/>
      <c r="Q48" s="23"/>
      <c r="R48" s="23"/>
      <c r="S48" s="23"/>
      <c r="T48" s="23"/>
      <c r="U48" s="32"/>
      <c r="V48" s="23"/>
      <c r="W48" s="23"/>
      <c r="X48" s="23"/>
      <c r="Y48" s="23"/>
      <c r="Z48" s="23"/>
      <c r="AA48" s="23"/>
      <c r="AB48" s="23"/>
      <c r="AC48" s="23"/>
      <c r="AD48" s="32"/>
      <c r="AE48" s="23"/>
      <c r="AF48" s="23"/>
      <c r="AG48" s="23"/>
      <c r="AH48" s="32"/>
      <c r="AI48" s="23"/>
      <c r="AJ48" s="32"/>
      <c r="AK48" s="23"/>
      <c r="AL48" s="32"/>
      <c r="AM48" s="32"/>
      <c r="AN48" s="32"/>
      <c r="AO48" s="23"/>
      <c r="AP48" s="23"/>
      <c r="AQ48" s="23"/>
      <c r="AR48" s="23"/>
      <c r="AS48" s="23"/>
      <c r="AT48" s="23"/>
      <c r="AU48" s="32"/>
      <c r="AV48" s="23"/>
      <c r="AW48" s="32"/>
      <c r="AX48" s="23"/>
      <c r="AY48" s="32"/>
      <c r="AZ48" s="33"/>
      <c r="BB48" s="32"/>
    </row>
    <row r="49" spans="2:54" ht="13.5" thickBot="1">
      <c r="B49" s="34"/>
      <c r="C49" s="35"/>
      <c r="D49" s="64"/>
      <c r="E49" s="64"/>
      <c r="F49" s="64"/>
      <c r="G49" s="64"/>
      <c r="H49" s="64"/>
      <c r="I49" s="35"/>
      <c r="J49" s="64"/>
      <c r="K49" s="64"/>
      <c r="L49" s="64"/>
      <c r="M49" s="35"/>
      <c r="N49" s="35"/>
      <c r="O49" s="35"/>
      <c r="P49" s="35"/>
      <c r="Q49" s="64"/>
      <c r="R49" s="64"/>
      <c r="S49" s="64"/>
      <c r="T49" s="64"/>
      <c r="U49" s="35"/>
      <c r="V49" s="64"/>
      <c r="W49" s="64"/>
      <c r="X49" s="64"/>
      <c r="Y49" s="64"/>
      <c r="Z49" s="64"/>
      <c r="AA49" s="64"/>
      <c r="AB49" s="64"/>
      <c r="AC49" s="64"/>
      <c r="AD49" s="35"/>
      <c r="AE49" s="64"/>
      <c r="AF49" s="64"/>
      <c r="AG49" s="64"/>
      <c r="AH49" s="35"/>
      <c r="AI49" s="64"/>
      <c r="AJ49" s="35"/>
      <c r="AK49" s="64"/>
      <c r="AL49" s="35"/>
      <c r="AM49" s="35"/>
      <c r="AN49" s="35"/>
      <c r="AO49" s="64"/>
      <c r="AP49" s="64"/>
      <c r="AQ49" s="64"/>
      <c r="AR49" s="64"/>
      <c r="AS49" s="64"/>
      <c r="AT49" s="64"/>
      <c r="AU49" s="35"/>
      <c r="AV49" s="64"/>
      <c r="AW49" s="35"/>
      <c r="AX49" s="64"/>
      <c r="AY49" s="35"/>
      <c r="AZ49" s="36"/>
      <c r="BB49" s="32"/>
    </row>
    <row r="50" ht="7.5" customHeight="1"/>
    <row r="51" spans="2:52" ht="15.75">
      <c r="B51" s="43" t="s">
        <v>51</v>
      </c>
      <c r="C51" s="37" t="s">
        <v>50</v>
      </c>
      <c r="D51" s="65"/>
      <c r="E51" s="65"/>
      <c r="F51" s="65"/>
      <c r="G51" s="65"/>
      <c r="H51" s="65"/>
      <c r="I51" s="37"/>
      <c r="J51" s="65"/>
      <c r="K51" s="65"/>
      <c r="L51" s="65"/>
      <c r="M51" s="37"/>
      <c r="N51" s="37"/>
      <c r="O51" s="37"/>
      <c r="P51" s="37"/>
      <c r="Q51" s="65"/>
      <c r="R51" s="65"/>
      <c r="S51" s="65"/>
      <c r="T51" s="65"/>
      <c r="U51" s="37"/>
      <c r="V51" s="65"/>
      <c r="W51" s="65"/>
      <c r="X51" s="65"/>
      <c r="Y51" s="65"/>
      <c r="Z51" s="65"/>
      <c r="AA51" s="65"/>
      <c r="AB51" s="65"/>
      <c r="AC51" s="65"/>
      <c r="AD51" s="37"/>
      <c r="AE51" s="65"/>
      <c r="AF51" s="65"/>
      <c r="AG51" s="65"/>
      <c r="AH51" s="37"/>
      <c r="AI51" s="65"/>
      <c r="AJ51" s="37"/>
      <c r="AK51" s="65"/>
      <c r="AL51" s="37"/>
      <c r="AM51" s="37"/>
      <c r="AN51" s="37"/>
      <c r="AO51" s="65"/>
      <c r="AP51" s="65"/>
      <c r="AQ51" s="65"/>
      <c r="AR51" s="65"/>
      <c r="AS51" s="65"/>
      <c r="AT51" s="65"/>
      <c r="AU51" s="37"/>
      <c r="AV51" s="65"/>
      <c r="AW51" s="37"/>
      <c r="AX51" s="65"/>
      <c r="AY51" s="37"/>
      <c r="AZ51" s="37"/>
    </row>
    <row r="52" spans="2:52" ht="15.75" thickBot="1">
      <c r="B52" s="49" t="s">
        <v>54</v>
      </c>
      <c r="C52" s="44" t="s">
        <v>52</v>
      </c>
      <c r="D52" s="65"/>
      <c r="E52" s="65"/>
      <c r="F52" s="65"/>
      <c r="G52" s="65"/>
      <c r="H52" s="65"/>
      <c r="I52" s="37"/>
      <c r="J52" s="65"/>
      <c r="K52" s="65"/>
      <c r="L52" s="65"/>
      <c r="M52" s="37"/>
      <c r="N52" s="37"/>
      <c r="O52" s="37"/>
      <c r="P52" s="37"/>
      <c r="Q52" s="65"/>
      <c r="R52" s="65"/>
      <c r="S52" s="65"/>
      <c r="T52" s="65"/>
      <c r="U52" s="37"/>
      <c r="V52" s="65"/>
      <c r="W52" s="65"/>
      <c r="X52" s="65"/>
      <c r="Y52" s="65"/>
      <c r="Z52" s="65"/>
      <c r="AA52" s="65"/>
      <c r="AB52" s="65"/>
      <c r="AC52" s="65"/>
      <c r="AD52" s="37"/>
      <c r="AE52" s="65"/>
      <c r="AF52" s="65"/>
      <c r="AG52" s="65"/>
      <c r="AH52" s="37"/>
      <c r="AI52" s="65"/>
      <c r="AJ52" s="37"/>
      <c r="AK52" s="65"/>
      <c r="AL52" s="37"/>
      <c r="AM52" s="37"/>
      <c r="AN52" s="37"/>
      <c r="AO52" s="65"/>
      <c r="AP52" s="65"/>
      <c r="AQ52" s="65"/>
      <c r="AR52" s="65"/>
      <c r="AS52" s="65"/>
      <c r="AT52" s="65"/>
      <c r="AU52" s="37"/>
      <c r="AV52" s="65"/>
      <c r="AW52" s="37"/>
      <c r="AX52" s="65"/>
      <c r="AY52" s="37"/>
      <c r="AZ52" s="37"/>
    </row>
    <row r="53" spans="2:52" ht="16.5" thickBot="1" thickTop="1">
      <c r="B53" s="41" t="s">
        <v>55</v>
      </c>
      <c r="C53" s="37" t="s">
        <v>48</v>
      </c>
      <c r="D53" s="65"/>
      <c r="E53" s="65"/>
      <c r="F53" s="65"/>
      <c r="G53" s="65"/>
      <c r="H53" s="65"/>
      <c r="I53" s="37"/>
      <c r="J53" s="65"/>
      <c r="K53" s="65"/>
      <c r="L53" s="65"/>
      <c r="M53" s="37"/>
      <c r="N53" s="37"/>
      <c r="O53" s="37"/>
      <c r="P53" s="37"/>
      <c r="Q53" s="65"/>
      <c r="R53" s="65"/>
      <c r="S53" s="65"/>
      <c r="T53" s="65"/>
      <c r="U53" s="37"/>
      <c r="V53" s="65"/>
      <c r="W53" s="65"/>
      <c r="X53" s="65"/>
      <c r="Y53" s="65"/>
      <c r="Z53" s="65"/>
      <c r="AA53" s="65"/>
      <c r="AB53" s="65"/>
      <c r="AC53" s="65"/>
      <c r="AD53" s="37"/>
      <c r="AE53" s="65"/>
      <c r="AF53" s="65"/>
      <c r="AG53" s="65"/>
      <c r="AH53" s="37"/>
      <c r="AI53" s="65"/>
      <c r="AJ53" s="37"/>
      <c r="AK53" s="65"/>
      <c r="AL53" s="37"/>
      <c r="AM53" s="37"/>
      <c r="AN53" s="37"/>
      <c r="AO53" s="65"/>
      <c r="AP53" s="65"/>
      <c r="AQ53" s="65"/>
      <c r="AR53" s="65"/>
      <c r="AS53" s="65"/>
      <c r="AT53" s="65"/>
      <c r="AU53" s="37"/>
      <c r="AV53" s="65"/>
      <c r="AW53" s="37"/>
      <c r="AX53" s="65"/>
      <c r="AY53" s="37"/>
      <c r="AZ53" s="37"/>
    </row>
    <row r="54" spans="2:52" ht="16.5" thickBot="1" thickTop="1">
      <c r="B54" s="50" t="s">
        <v>56</v>
      </c>
      <c r="C54" s="37" t="s">
        <v>46</v>
      </c>
      <c r="D54" s="65"/>
      <c r="E54" s="65"/>
      <c r="F54" s="65"/>
      <c r="G54" s="65"/>
      <c r="H54" s="65"/>
      <c r="I54" s="37"/>
      <c r="J54" s="65"/>
      <c r="K54" s="65"/>
      <c r="L54" s="65"/>
      <c r="M54" s="37"/>
      <c r="N54" s="37"/>
      <c r="O54" s="37"/>
      <c r="P54" s="37"/>
      <c r="Q54" s="65"/>
      <c r="R54" s="65"/>
      <c r="S54" s="65"/>
      <c r="T54" s="65"/>
      <c r="U54" s="37"/>
      <c r="V54" s="65"/>
      <c r="W54" s="65"/>
      <c r="X54" s="65"/>
      <c r="Y54" s="65"/>
      <c r="Z54" s="65"/>
      <c r="AA54" s="65"/>
      <c r="AB54" s="65"/>
      <c r="AC54" s="65"/>
      <c r="AD54" s="37"/>
      <c r="AE54" s="65"/>
      <c r="AF54" s="65"/>
      <c r="AG54" s="65"/>
      <c r="AH54" s="37"/>
      <c r="AI54" s="65"/>
      <c r="AJ54" s="37"/>
      <c r="AK54" s="65"/>
      <c r="AL54" s="37"/>
      <c r="AM54" s="37"/>
      <c r="AN54" s="37"/>
      <c r="AO54" s="65"/>
      <c r="AP54" s="65"/>
      <c r="AQ54" s="65"/>
      <c r="AR54" s="65"/>
      <c r="AS54" s="65"/>
      <c r="AT54" s="65"/>
      <c r="AU54" s="37"/>
      <c r="AV54" s="65"/>
      <c r="AW54" s="37"/>
      <c r="AX54" s="65"/>
      <c r="AY54" s="37"/>
      <c r="AZ54" s="37"/>
    </row>
    <row r="55" spans="2:52" ht="16.5" thickBot="1" thickTop="1">
      <c r="B55" s="51" t="s">
        <v>57</v>
      </c>
      <c r="C55" s="37" t="s">
        <v>47</v>
      </c>
      <c r="D55" s="65"/>
      <c r="E55" s="65"/>
      <c r="F55" s="65"/>
      <c r="G55" s="65"/>
      <c r="H55" s="65"/>
      <c r="I55" s="37"/>
      <c r="J55" s="65"/>
      <c r="K55" s="65"/>
      <c r="L55" s="65"/>
      <c r="M55" s="37"/>
      <c r="N55" s="37"/>
      <c r="O55" s="37"/>
      <c r="P55" s="37"/>
      <c r="Q55" s="65"/>
      <c r="R55" s="65"/>
      <c r="S55" s="65"/>
      <c r="T55" s="65"/>
      <c r="U55" s="37"/>
      <c r="V55" s="65"/>
      <c r="W55" s="65"/>
      <c r="X55" s="65"/>
      <c r="Y55" s="65"/>
      <c r="Z55" s="65"/>
      <c r="AA55" s="65"/>
      <c r="AB55" s="65"/>
      <c r="AC55" s="65"/>
      <c r="AD55" s="37"/>
      <c r="AE55" s="65"/>
      <c r="AF55" s="65"/>
      <c r="AG55" s="65"/>
      <c r="AH55" s="37"/>
      <c r="AI55" s="65"/>
      <c r="AJ55" s="37"/>
      <c r="AK55" s="65"/>
      <c r="AL55" s="37"/>
      <c r="AM55" s="37"/>
      <c r="AN55" s="37"/>
      <c r="AO55" s="65"/>
      <c r="AP55" s="65"/>
      <c r="AQ55" s="65"/>
      <c r="AR55" s="65"/>
      <c r="AS55" s="65"/>
      <c r="AT55" s="65"/>
      <c r="AU55" s="37"/>
      <c r="AV55" s="65"/>
      <c r="AW55" s="37"/>
      <c r="AX55" s="65"/>
      <c r="AY55" s="37"/>
      <c r="AZ55" s="37"/>
    </row>
    <row r="56" spans="2:52" ht="16.5" thickBot="1" thickTop="1">
      <c r="B56" s="52" t="s">
        <v>58</v>
      </c>
      <c r="C56" s="37" t="s">
        <v>53</v>
      </c>
      <c r="D56" s="65"/>
      <c r="E56" s="65"/>
      <c r="F56" s="65"/>
      <c r="G56" s="65"/>
      <c r="H56" s="65"/>
      <c r="I56" s="37"/>
      <c r="J56" s="65"/>
      <c r="K56" s="65"/>
      <c r="L56" s="65"/>
      <c r="M56" s="37"/>
      <c r="N56" s="37"/>
      <c r="O56" s="37"/>
      <c r="P56" s="37"/>
      <c r="Q56" s="65"/>
      <c r="R56" s="65"/>
      <c r="S56" s="65"/>
      <c r="T56" s="65"/>
      <c r="U56" s="37"/>
      <c r="V56" s="65"/>
      <c r="W56" s="65"/>
      <c r="X56" s="65"/>
      <c r="Y56" s="65"/>
      <c r="Z56" s="65"/>
      <c r="AA56" s="65"/>
      <c r="AB56" s="65"/>
      <c r="AC56" s="65"/>
      <c r="AD56" s="37"/>
      <c r="AE56" s="65"/>
      <c r="AF56" s="65"/>
      <c r="AG56" s="65"/>
      <c r="AH56" s="37"/>
      <c r="AI56" s="65"/>
      <c r="AJ56" s="37"/>
      <c r="AK56" s="65"/>
      <c r="AL56" s="37"/>
      <c r="AM56" s="37"/>
      <c r="AN56" s="37"/>
      <c r="AO56" s="65"/>
      <c r="AP56" s="65"/>
      <c r="AQ56" s="65"/>
      <c r="AR56" s="65"/>
      <c r="AS56" s="65"/>
      <c r="AT56" s="65"/>
      <c r="AU56" s="37"/>
      <c r="AV56" s="65"/>
      <c r="AW56" s="37"/>
      <c r="AX56" s="65"/>
      <c r="AY56" s="37"/>
      <c r="AZ56" s="37"/>
    </row>
    <row r="57" ht="9" customHeight="1" thickTop="1"/>
    <row r="74" ht="12.75">
      <c r="AS74" s="121"/>
    </row>
  </sheetData>
  <sheetProtection/>
  <mergeCells count="54">
    <mergeCell ref="AG8:AH8"/>
    <mergeCell ref="AE6:AF6"/>
    <mergeCell ref="AE7:AF7"/>
    <mergeCell ref="AE8:AF8"/>
    <mergeCell ref="Q8:R8"/>
    <mergeCell ref="F7:G7"/>
    <mergeCell ref="AE40:AF40"/>
    <mergeCell ref="X7:Y7"/>
    <mergeCell ref="X8:Y8"/>
    <mergeCell ref="AB7:AC7"/>
    <mergeCell ref="AB8:AC8"/>
    <mergeCell ref="C4:AY4"/>
    <mergeCell ref="B2:AZ3"/>
    <mergeCell ref="J6:K6"/>
    <mergeCell ref="J7:K7"/>
    <mergeCell ref="F6:G6"/>
    <mergeCell ref="Q6:R6"/>
    <mergeCell ref="Q7:R7"/>
    <mergeCell ref="AB6:AC6"/>
    <mergeCell ref="AG6:AH6"/>
    <mergeCell ref="AG7:AH7"/>
    <mergeCell ref="F8:G8"/>
    <mergeCell ref="D6:E6"/>
    <mergeCell ref="L6:M6"/>
    <mergeCell ref="L7:M7"/>
    <mergeCell ref="L8:M8"/>
    <mergeCell ref="D7:E7"/>
    <mergeCell ref="D8:E8"/>
    <mergeCell ref="J8:K8"/>
    <mergeCell ref="T6:U6"/>
    <mergeCell ref="T7:U7"/>
    <mergeCell ref="T8:U8"/>
    <mergeCell ref="Z6:AA6"/>
    <mergeCell ref="Z7:AA7"/>
    <mergeCell ref="Z8:AA8"/>
    <mergeCell ref="X6:Y6"/>
    <mergeCell ref="AI6:AJ6"/>
    <mergeCell ref="AI7:AJ7"/>
    <mergeCell ref="AI8:AJ8"/>
    <mergeCell ref="AK6:AL6"/>
    <mergeCell ref="AK7:AL7"/>
    <mergeCell ref="AK8:AL8"/>
    <mergeCell ref="AM6:AN6"/>
    <mergeCell ref="AM7:AN7"/>
    <mergeCell ref="AM8:AN8"/>
    <mergeCell ref="AO6:AP6"/>
    <mergeCell ref="AO7:AP7"/>
    <mergeCell ref="AO8:AP8"/>
    <mergeCell ref="AV6:AW6"/>
    <mergeCell ref="AV7:AW7"/>
    <mergeCell ref="AV8:AW8"/>
    <mergeCell ref="AT6:AU6"/>
    <mergeCell ref="AT7:AU7"/>
    <mergeCell ref="AT8:AU8"/>
  </mergeCells>
  <printOptions/>
  <pageMargins left="0.32" right="0.1968503937007874" top="0.5905511811023623" bottom="0.1968503937007874" header="0.4330708661417323" footer="0.1968503937007874"/>
  <pageSetup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9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.140625" style="0" customWidth="1"/>
    <col min="9" max="9" width="9.57421875" style="0" bestFit="1" customWidth="1"/>
    <col min="16" max="16" width="9.57421875" style="0" bestFit="1" customWidth="1"/>
  </cols>
  <sheetData>
    <row r="2" spans="2:14" ht="18">
      <c r="B2" s="221" t="s">
        <v>30</v>
      </c>
      <c r="C2" s="191"/>
      <c r="D2" s="191"/>
      <c r="E2" s="191"/>
      <c r="F2" s="191"/>
      <c r="G2" s="191"/>
      <c r="H2" s="191"/>
      <c r="I2" s="191"/>
      <c r="J2" s="191"/>
      <c r="K2" s="192"/>
      <c r="L2" s="7"/>
      <c r="M2" s="7"/>
      <c r="N2" s="7"/>
    </row>
    <row r="3" spans="12:14" ht="12.75">
      <c r="L3" s="8"/>
      <c r="M3" s="8"/>
      <c r="N3" s="8"/>
    </row>
    <row r="4" spans="2:14" ht="17.25" customHeight="1">
      <c r="B4" s="193" t="s">
        <v>31</v>
      </c>
      <c r="C4" s="194"/>
      <c r="D4" s="194"/>
      <c r="E4" s="194"/>
      <c r="F4" s="157"/>
      <c r="G4" s="158" t="s">
        <v>32</v>
      </c>
      <c r="H4" s="193" t="s">
        <v>33</v>
      </c>
      <c r="I4" s="194"/>
      <c r="J4" s="194"/>
      <c r="K4" s="157"/>
      <c r="L4" s="9"/>
      <c r="M4" s="9"/>
      <c r="N4" s="9"/>
    </row>
    <row r="5" spans="2:14" ht="17.25" customHeight="1">
      <c r="B5" s="161" t="s">
        <v>34</v>
      </c>
      <c r="C5" s="161"/>
      <c r="D5" s="162" t="s">
        <v>35</v>
      </c>
      <c r="E5" s="162"/>
      <c r="F5" s="162"/>
      <c r="G5" s="159"/>
      <c r="H5" s="128" t="s">
        <v>36</v>
      </c>
      <c r="I5" s="128"/>
      <c r="J5" s="128"/>
      <c r="K5" s="128"/>
      <c r="L5" s="9"/>
      <c r="M5" s="9"/>
      <c r="N5" s="9"/>
    </row>
    <row r="6" spans="2:14" ht="18" customHeight="1" thickBot="1">
      <c r="B6" s="129" t="s">
        <v>37</v>
      </c>
      <c r="C6" s="129"/>
      <c r="D6" s="10" t="s">
        <v>38</v>
      </c>
      <c r="E6" s="11" t="s">
        <v>39</v>
      </c>
      <c r="F6" s="12" t="s">
        <v>40</v>
      </c>
      <c r="G6" s="159"/>
      <c r="H6" s="11" t="s">
        <v>39</v>
      </c>
      <c r="I6" s="12" t="s">
        <v>40</v>
      </c>
      <c r="J6" s="13"/>
      <c r="K6" s="10" t="s">
        <v>41</v>
      </c>
      <c r="L6" s="14"/>
      <c r="M6" s="14"/>
      <c r="N6" s="14"/>
    </row>
    <row r="7" spans="2:18" ht="20.25" customHeight="1" thickBot="1" thickTop="1">
      <c r="B7" s="130">
        <v>42.195</v>
      </c>
      <c r="C7" s="130"/>
      <c r="D7" s="15">
        <v>3</v>
      </c>
      <c r="E7" s="15">
        <v>48</v>
      </c>
      <c r="F7" s="15">
        <v>15</v>
      </c>
      <c r="G7" s="160"/>
      <c r="H7" s="15">
        <f>INT(P7/60)</f>
        <v>5</v>
      </c>
      <c r="I7" s="16">
        <f>P7-(60*H7)</f>
        <v>24.56452186277994</v>
      </c>
      <c r="J7" s="17"/>
      <c r="K7" s="18">
        <f>Q7</f>
        <v>11.091785323110624</v>
      </c>
      <c r="L7" s="19"/>
      <c r="M7" s="19"/>
      <c r="N7" s="19"/>
      <c r="O7" s="20">
        <f>D7*3600+E7*60+F7</f>
        <v>13695</v>
      </c>
      <c r="P7" s="21">
        <f>O7/B7</f>
        <v>324.56452186277994</v>
      </c>
      <c r="Q7" s="22">
        <f>3600/P7</f>
        <v>11.091785323110624</v>
      </c>
      <c r="R7" s="5"/>
    </row>
    <row r="8" ht="13.5" thickTop="1">
      <c r="P8" s="4"/>
    </row>
    <row r="9" spans="2:3" ht="12.75">
      <c r="B9" s="23"/>
      <c r="C9" s="23"/>
    </row>
    <row r="10" spans="2:11" ht="18">
      <c r="B10" s="218"/>
      <c r="C10" s="219"/>
      <c r="D10" s="24"/>
      <c r="E10" s="24"/>
      <c r="F10" s="24"/>
      <c r="G10" s="25"/>
      <c r="H10" s="25"/>
      <c r="I10" s="25"/>
      <c r="J10" s="25"/>
      <c r="K10" s="25"/>
    </row>
    <row r="11" spans="2:15" ht="18">
      <c r="B11" s="219"/>
      <c r="C11" s="219"/>
      <c r="D11" s="24"/>
      <c r="E11" s="24"/>
      <c r="F11" s="24"/>
      <c r="G11" s="25"/>
      <c r="H11" s="25"/>
      <c r="I11" s="25"/>
      <c r="J11" s="25"/>
      <c r="K11" s="220"/>
      <c r="L11" s="220"/>
      <c r="M11" s="220"/>
      <c r="N11" s="220"/>
      <c r="O11" s="220"/>
    </row>
    <row r="12" spans="2:15" ht="18">
      <c r="B12" s="219"/>
      <c r="C12" s="219"/>
      <c r="D12" s="25"/>
      <c r="E12" s="25"/>
      <c r="F12" s="25"/>
      <c r="G12" s="25"/>
      <c r="H12" s="25"/>
      <c r="I12" s="25"/>
      <c r="J12" s="25"/>
      <c r="K12" s="220"/>
      <c r="L12" s="220"/>
      <c r="M12" s="220"/>
      <c r="N12" s="220"/>
      <c r="O12" s="220"/>
    </row>
    <row r="13" spans="2:11" ht="18">
      <c r="B13" s="219"/>
      <c r="C13" s="219"/>
      <c r="D13" s="25"/>
      <c r="E13" s="25"/>
      <c r="F13" s="25"/>
      <c r="G13" s="25"/>
      <c r="H13" s="25"/>
      <c r="I13" s="25"/>
      <c r="J13" s="25"/>
      <c r="K13" s="25"/>
    </row>
    <row r="14" spans="2:3" ht="12.75">
      <c r="B14" s="219"/>
      <c r="C14" s="219"/>
    </row>
    <row r="15" spans="2:3" ht="12.75">
      <c r="B15" s="219"/>
      <c r="C15" s="219"/>
    </row>
    <row r="16" spans="2:3" ht="12.75">
      <c r="B16" s="219"/>
      <c r="C16" s="219"/>
    </row>
    <row r="17" spans="2:3" ht="12.75">
      <c r="B17" s="219"/>
      <c r="C17" s="219"/>
    </row>
    <row r="18" spans="2:3" ht="12.75">
      <c r="B18" s="219"/>
      <c r="C18" s="219"/>
    </row>
    <row r="19" spans="2:3" ht="12.75">
      <c r="B19" s="219"/>
      <c r="C19" s="219"/>
    </row>
    <row r="20" spans="2:11" ht="12.75">
      <c r="B20" s="219"/>
      <c r="C20" s="219"/>
      <c r="K20" s="82"/>
    </row>
    <row r="23" spans="8:13" ht="12.75">
      <c r="H23" s="32"/>
      <c r="I23" s="32"/>
      <c r="J23" s="32"/>
      <c r="K23" s="32"/>
      <c r="L23" s="32"/>
      <c r="M23" s="32"/>
    </row>
    <row r="24" spans="8:13" ht="12.75">
      <c r="H24" s="32"/>
      <c r="I24" s="32"/>
      <c r="J24" s="32"/>
      <c r="K24" s="32"/>
      <c r="L24" s="32"/>
      <c r="M24" s="32"/>
    </row>
    <row r="25" spans="8:13" ht="12.75">
      <c r="H25" s="32"/>
      <c r="I25" s="32"/>
      <c r="J25" s="32"/>
      <c r="K25" s="32"/>
      <c r="L25" s="32"/>
      <c r="M25" s="32"/>
    </row>
    <row r="26" spans="8:13" ht="12.75">
      <c r="H26" s="32"/>
      <c r="I26" s="32"/>
      <c r="J26" s="32"/>
      <c r="K26" s="32"/>
      <c r="L26" s="32"/>
      <c r="M26" s="32"/>
    </row>
    <row r="27" spans="8:13" ht="12.75">
      <c r="H27" s="32"/>
      <c r="I27" s="32"/>
      <c r="J27" s="32"/>
      <c r="K27" s="32"/>
      <c r="L27" s="32"/>
      <c r="M27" s="32"/>
    </row>
    <row r="28" spans="8:13" ht="12.75">
      <c r="H28" s="32"/>
      <c r="I28" s="32"/>
      <c r="J28" s="32"/>
      <c r="K28" s="32"/>
      <c r="L28" s="32"/>
      <c r="M28" s="32"/>
    </row>
    <row r="29" spans="8:13" ht="12.75">
      <c r="H29" s="32"/>
      <c r="I29" s="32"/>
      <c r="J29" s="32"/>
      <c r="K29" s="32"/>
      <c r="L29" s="32"/>
      <c r="M29" s="32"/>
    </row>
  </sheetData>
  <sheetProtection/>
  <mergeCells count="11">
    <mergeCell ref="B7:C7"/>
    <mergeCell ref="B10:C20"/>
    <mergeCell ref="K11:O12"/>
    <mergeCell ref="B2:K2"/>
    <mergeCell ref="B4:F4"/>
    <mergeCell ref="G4:G7"/>
    <mergeCell ref="H4:K4"/>
    <mergeCell ref="B5:C5"/>
    <mergeCell ref="D5:F5"/>
    <mergeCell ref="H5:K5"/>
    <mergeCell ref="B6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94">
      <selection activeCell="F118" sqref="F118"/>
    </sheetView>
  </sheetViews>
  <sheetFormatPr defaultColWidth="9.140625" defaultRowHeight="12.75"/>
  <cols>
    <col min="1" max="8" width="14.57421875" style="0" customWidth="1"/>
    <col min="10" max="10" width="14.8515625" style="0" customWidth="1"/>
  </cols>
  <sheetData>
    <row r="1" spans="1:8" ht="20.25">
      <c r="A1" s="252" t="s">
        <v>111</v>
      </c>
      <c r="B1" s="253"/>
      <c r="C1" s="252" t="s">
        <v>112</v>
      </c>
      <c r="D1" s="253"/>
      <c r="E1" s="252" t="s">
        <v>114</v>
      </c>
      <c r="F1" s="253"/>
      <c r="G1" s="252" t="s">
        <v>113</v>
      </c>
      <c r="H1" s="253"/>
    </row>
    <row r="2" spans="1:8" ht="24.75" customHeight="1">
      <c r="A2" s="3" t="s">
        <v>79</v>
      </c>
      <c r="B2" s="3" t="s">
        <v>80</v>
      </c>
      <c r="C2" s="3" t="s">
        <v>79</v>
      </c>
      <c r="D2" s="3" t="s">
        <v>80</v>
      </c>
      <c r="E2" s="3" t="s">
        <v>79</v>
      </c>
      <c r="F2" s="3" t="s">
        <v>80</v>
      </c>
      <c r="G2" s="3" t="s">
        <v>79</v>
      </c>
      <c r="H2" s="3" t="s">
        <v>80</v>
      </c>
    </row>
    <row r="3" spans="1:8" ht="15">
      <c r="A3" s="66">
        <v>3</v>
      </c>
      <c r="B3" s="67">
        <v>1.6</v>
      </c>
      <c r="C3" s="69">
        <v>3.3</v>
      </c>
      <c r="D3" s="70">
        <f>1.6</f>
        <v>1.6</v>
      </c>
      <c r="E3" s="101">
        <v>3.3</v>
      </c>
      <c r="F3" s="102">
        <f>1.6</f>
        <v>1.6</v>
      </c>
      <c r="G3" s="103">
        <v>4</v>
      </c>
      <c r="H3" s="104">
        <f>1.6</f>
        <v>1.6</v>
      </c>
    </row>
    <row r="4" spans="1:8" ht="15">
      <c r="A4" s="66">
        <f>A3+0.01</f>
        <v>3.01</v>
      </c>
      <c r="B4" s="67">
        <f>B3-0.005</f>
        <v>1.5950000000000002</v>
      </c>
      <c r="C4" s="69">
        <f>C3+0.01</f>
        <v>3.3099999999999996</v>
      </c>
      <c r="D4" s="70">
        <f>D3-0.005</f>
        <v>1.5950000000000002</v>
      </c>
      <c r="E4" s="101">
        <f>E3+0.01</f>
        <v>3.3099999999999996</v>
      </c>
      <c r="F4" s="102">
        <f>F3-0.005</f>
        <v>1.5950000000000002</v>
      </c>
      <c r="G4" s="103">
        <f aca="true" t="shared" si="0" ref="G4:G32">G3+0.01</f>
        <v>4.01</v>
      </c>
      <c r="H4" s="104">
        <f aca="true" t="shared" si="1" ref="H4:H35">H3-0.005</f>
        <v>1.5950000000000002</v>
      </c>
    </row>
    <row r="5" spans="1:8" ht="15">
      <c r="A5" s="66">
        <f aca="true" t="shared" si="2" ref="A5:A62">A4+0.01</f>
        <v>3.0199999999999996</v>
      </c>
      <c r="B5" s="67">
        <f aca="true" t="shared" si="3" ref="B5:B68">B4-0.005</f>
        <v>1.5900000000000003</v>
      </c>
      <c r="C5" s="69">
        <f aca="true" t="shared" si="4" ref="C5:E68">C4+0.01</f>
        <v>3.3199999999999994</v>
      </c>
      <c r="D5" s="70">
        <f aca="true" t="shared" si="5" ref="D5:F68">D4-0.005</f>
        <v>1.5900000000000003</v>
      </c>
      <c r="E5" s="101">
        <f t="shared" si="4"/>
        <v>3.3199999999999994</v>
      </c>
      <c r="F5" s="102">
        <f t="shared" si="5"/>
        <v>1.5900000000000003</v>
      </c>
      <c r="G5" s="103">
        <f t="shared" si="0"/>
        <v>4.02</v>
      </c>
      <c r="H5" s="104">
        <f t="shared" si="1"/>
        <v>1.5900000000000003</v>
      </c>
    </row>
    <row r="6" spans="1:8" ht="15">
      <c r="A6" s="66">
        <f t="shared" si="2"/>
        <v>3.0299999999999994</v>
      </c>
      <c r="B6" s="67">
        <f t="shared" si="3"/>
        <v>1.5850000000000004</v>
      </c>
      <c r="C6" s="69">
        <f t="shared" si="4"/>
        <v>3.329999999999999</v>
      </c>
      <c r="D6" s="70">
        <f t="shared" si="5"/>
        <v>1.5850000000000004</v>
      </c>
      <c r="E6" s="101">
        <f t="shared" si="4"/>
        <v>3.329999999999999</v>
      </c>
      <c r="F6" s="102">
        <f t="shared" si="5"/>
        <v>1.5850000000000004</v>
      </c>
      <c r="G6" s="103">
        <f t="shared" si="0"/>
        <v>4.029999999999999</v>
      </c>
      <c r="H6" s="104">
        <f t="shared" si="1"/>
        <v>1.5850000000000004</v>
      </c>
    </row>
    <row r="7" spans="1:8" ht="15">
      <c r="A7" s="66">
        <f t="shared" si="2"/>
        <v>3.039999999999999</v>
      </c>
      <c r="B7" s="67">
        <f t="shared" si="3"/>
        <v>1.5800000000000005</v>
      </c>
      <c r="C7" s="69">
        <f t="shared" si="4"/>
        <v>3.339999999999999</v>
      </c>
      <c r="D7" s="70">
        <f t="shared" si="5"/>
        <v>1.5800000000000005</v>
      </c>
      <c r="E7" s="101">
        <f t="shared" si="4"/>
        <v>3.339999999999999</v>
      </c>
      <c r="F7" s="102">
        <f t="shared" si="5"/>
        <v>1.5800000000000005</v>
      </c>
      <c r="G7" s="103">
        <f t="shared" si="0"/>
        <v>4.039999999999999</v>
      </c>
      <c r="H7" s="104">
        <f t="shared" si="1"/>
        <v>1.5800000000000005</v>
      </c>
    </row>
    <row r="8" spans="1:8" ht="15">
      <c r="A8" s="66">
        <f t="shared" si="2"/>
        <v>3.049999999999999</v>
      </c>
      <c r="B8" s="67">
        <f t="shared" si="3"/>
        <v>1.5750000000000006</v>
      </c>
      <c r="C8" s="69">
        <f t="shared" si="4"/>
        <v>3.3499999999999988</v>
      </c>
      <c r="D8" s="70">
        <f t="shared" si="5"/>
        <v>1.5750000000000006</v>
      </c>
      <c r="E8" s="101">
        <f t="shared" si="4"/>
        <v>3.3499999999999988</v>
      </c>
      <c r="F8" s="102">
        <f t="shared" si="5"/>
        <v>1.5750000000000006</v>
      </c>
      <c r="G8" s="103">
        <f t="shared" si="0"/>
        <v>4.049999999999999</v>
      </c>
      <c r="H8" s="104">
        <f t="shared" si="1"/>
        <v>1.5750000000000006</v>
      </c>
    </row>
    <row r="9" spans="1:8" ht="15">
      <c r="A9" s="66">
        <f t="shared" si="2"/>
        <v>3.0599999999999987</v>
      </c>
      <c r="B9" s="67">
        <f t="shared" si="3"/>
        <v>1.5700000000000007</v>
      </c>
      <c r="C9" s="69">
        <f t="shared" si="4"/>
        <v>3.3599999999999985</v>
      </c>
      <c r="D9" s="70">
        <f t="shared" si="5"/>
        <v>1.5700000000000007</v>
      </c>
      <c r="E9" s="101">
        <f t="shared" si="4"/>
        <v>3.3599999999999985</v>
      </c>
      <c r="F9" s="102">
        <f t="shared" si="5"/>
        <v>1.5700000000000007</v>
      </c>
      <c r="G9" s="103">
        <f t="shared" si="0"/>
        <v>4.059999999999999</v>
      </c>
      <c r="H9" s="104">
        <f t="shared" si="1"/>
        <v>1.5700000000000007</v>
      </c>
    </row>
    <row r="10" spans="1:8" ht="15">
      <c r="A10" s="66">
        <f t="shared" si="2"/>
        <v>3.0699999999999985</v>
      </c>
      <c r="B10" s="67">
        <f t="shared" si="3"/>
        <v>1.5650000000000008</v>
      </c>
      <c r="C10" s="69">
        <f t="shared" si="4"/>
        <v>3.3699999999999983</v>
      </c>
      <c r="D10" s="70">
        <f t="shared" si="5"/>
        <v>1.5650000000000008</v>
      </c>
      <c r="E10" s="101">
        <f t="shared" si="4"/>
        <v>3.3699999999999983</v>
      </c>
      <c r="F10" s="102">
        <f t="shared" si="5"/>
        <v>1.5650000000000008</v>
      </c>
      <c r="G10" s="103">
        <f t="shared" si="0"/>
        <v>4.0699999999999985</v>
      </c>
      <c r="H10" s="104">
        <f t="shared" si="1"/>
        <v>1.5650000000000008</v>
      </c>
    </row>
    <row r="11" spans="1:8" ht="15">
      <c r="A11" s="66">
        <f t="shared" si="2"/>
        <v>3.0799999999999983</v>
      </c>
      <c r="B11" s="67">
        <f t="shared" si="3"/>
        <v>1.560000000000001</v>
      </c>
      <c r="C11" s="69">
        <f t="shared" si="4"/>
        <v>3.379999999999998</v>
      </c>
      <c r="D11" s="70">
        <f t="shared" si="5"/>
        <v>1.560000000000001</v>
      </c>
      <c r="E11" s="101">
        <f t="shared" si="4"/>
        <v>3.379999999999998</v>
      </c>
      <c r="F11" s="102">
        <f t="shared" si="5"/>
        <v>1.560000000000001</v>
      </c>
      <c r="G11" s="103">
        <f t="shared" si="0"/>
        <v>4.079999999999998</v>
      </c>
      <c r="H11" s="104">
        <f t="shared" si="1"/>
        <v>1.560000000000001</v>
      </c>
    </row>
    <row r="12" spans="1:8" ht="15">
      <c r="A12" s="66">
        <f t="shared" si="2"/>
        <v>3.089999999999998</v>
      </c>
      <c r="B12" s="67">
        <f t="shared" si="3"/>
        <v>1.555000000000001</v>
      </c>
      <c r="C12" s="69">
        <f t="shared" si="4"/>
        <v>3.389999999999998</v>
      </c>
      <c r="D12" s="70">
        <f t="shared" si="5"/>
        <v>1.555000000000001</v>
      </c>
      <c r="E12" s="101">
        <f t="shared" si="4"/>
        <v>3.389999999999998</v>
      </c>
      <c r="F12" s="102">
        <f t="shared" si="5"/>
        <v>1.555000000000001</v>
      </c>
      <c r="G12" s="103">
        <f t="shared" si="0"/>
        <v>4.089999999999998</v>
      </c>
      <c r="H12" s="104">
        <f t="shared" si="1"/>
        <v>1.555000000000001</v>
      </c>
    </row>
    <row r="13" spans="1:8" ht="15">
      <c r="A13" s="66">
        <f t="shared" si="2"/>
        <v>3.099999999999998</v>
      </c>
      <c r="B13" s="67">
        <f t="shared" si="3"/>
        <v>1.5500000000000012</v>
      </c>
      <c r="C13" s="69">
        <f t="shared" si="4"/>
        <v>3.3999999999999977</v>
      </c>
      <c r="D13" s="70">
        <f t="shared" si="5"/>
        <v>1.5500000000000012</v>
      </c>
      <c r="E13" s="101">
        <f t="shared" si="4"/>
        <v>3.3999999999999977</v>
      </c>
      <c r="F13" s="102">
        <f t="shared" si="5"/>
        <v>1.5500000000000012</v>
      </c>
      <c r="G13" s="103">
        <f t="shared" si="0"/>
        <v>4.099999999999998</v>
      </c>
      <c r="H13" s="104">
        <f t="shared" si="1"/>
        <v>1.5500000000000012</v>
      </c>
    </row>
    <row r="14" spans="1:8" ht="15">
      <c r="A14" s="66">
        <f t="shared" si="2"/>
        <v>3.1099999999999977</v>
      </c>
      <c r="B14" s="67">
        <f t="shared" si="3"/>
        <v>1.5450000000000013</v>
      </c>
      <c r="C14" s="69">
        <f t="shared" si="4"/>
        <v>3.4099999999999975</v>
      </c>
      <c r="D14" s="70">
        <f t="shared" si="5"/>
        <v>1.5450000000000013</v>
      </c>
      <c r="E14" s="101">
        <f t="shared" si="4"/>
        <v>3.4099999999999975</v>
      </c>
      <c r="F14" s="102">
        <f t="shared" si="5"/>
        <v>1.5450000000000013</v>
      </c>
      <c r="G14" s="103">
        <f t="shared" si="0"/>
        <v>4.109999999999998</v>
      </c>
      <c r="H14" s="104">
        <f t="shared" si="1"/>
        <v>1.5450000000000013</v>
      </c>
    </row>
    <row r="15" spans="1:8" ht="15">
      <c r="A15" s="66">
        <f t="shared" si="2"/>
        <v>3.1199999999999974</v>
      </c>
      <c r="B15" s="67">
        <f t="shared" si="3"/>
        <v>1.5400000000000014</v>
      </c>
      <c r="C15" s="69">
        <f t="shared" si="4"/>
        <v>3.4199999999999973</v>
      </c>
      <c r="D15" s="70">
        <f t="shared" si="5"/>
        <v>1.5400000000000014</v>
      </c>
      <c r="E15" s="101">
        <f t="shared" si="4"/>
        <v>3.4199999999999973</v>
      </c>
      <c r="F15" s="102">
        <f t="shared" si="5"/>
        <v>1.5400000000000014</v>
      </c>
      <c r="G15" s="103">
        <f t="shared" si="0"/>
        <v>4.119999999999997</v>
      </c>
      <c r="H15" s="104">
        <f t="shared" si="1"/>
        <v>1.5400000000000014</v>
      </c>
    </row>
    <row r="16" spans="1:8" ht="15">
      <c r="A16" s="66">
        <f t="shared" si="2"/>
        <v>3.1299999999999972</v>
      </c>
      <c r="B16" s="67">
        <f t="shared" si="3"/>
        <v>1.5350000000000015</v>
      </c>
      <c r="C16" s="69">
        <f t="shared" si="4"/>
        <v>3.429999999999997</v>
      </c>
      <c r="D16" s="70">
        <f t="shared" si="5"/>
        <v>1.5350000000000015</v>
      </c>
      <c r="E16" s="101">
        <f t="shared" si="4"/>
        <v>3.429999999999997</v>
      </c>
      <c r="F16" s="102">
        <f t="shared" si="5"/>
        <v>1.5350000000000015</v>
      </c>
      <c r="G16" s="103">
        <f t="shared" si="0"/>
        <v>4.129999999999997</v>
      </c>
      <c r="H16" s="104">
        <f t="shared" si="1"/>
        <v>1.5350000000000015</v>
      </c>
    </row>
    <row r="17" spans="1:8" ht="15">
      <c r="A17" s="66">
        <f t="shared" si="2"/>
        <v>3.139999999999997</v>
      </c>
      <c r="B17" s="67">
        <f t="shared" si="3"/>
        <v>1.5300000000000016</v>
      </c>
      <c r="C17" s="69">
        <f t="shared" si="4"/>
        <v>3.439999999999997</v>
      </c>
      <c r="D17" s="70">
        <f t="shared" si="5"/>
        <v>1.5300000000000016</v>
      </c>
      <c r="E17" s="101">
        <f t="shared" si="4"/>
        <v>3.439999999999997</v>
      </c>
      <c r="F17" s="102">
        <f t="shared" si="5"/>
        <v>1.5300000000000016</v>
      </c>
      <c r="G17" s="103">
        <f t="shared" si="0"/>
        <v>4.139999999999997</v>
      </c>
      <c r="H17" s="104">
        <f t="shared" si="1"/>
        <v>1.5300000000000016</v>
      </c>
    </row>
    <row r="18" spans="1:8" ht="15">
      <c r="A18" s="66">
        <f t="shared" si="2"/>
        <v>3.149999999999997</v>
      </c>
      <c r="B18" s="67">
        <f t="shared" si="3"/>
        <v>1.5250000000000017</v>
      </c>
      <c r="C18" s="69">
        <f t="shared" si="4"/>
        <v>3.4499999999999966</v>
      </c>
      <c r="D18" s="70">
        <f t="shared" si="5"/>
        <v>1.5250000000000017</v>
      </c>
      <c r="E18" s="101">
        <f t="shared" si="4"/>
        <v>3.4499999999999966</v>
      </c>
      <c r="F18" s="102">
        <f t="shared" si="5"/>
        <v>1.5250000000000017</v>
      </c>
      <c r="G18" s="103">
        <f t="shared" si="0"/>
        <v>4.149999999999997</v>
      </c>
      <c r="H18" s="104">
        <f t="shared" si="1"/>
        <v>1.5250000000000017</v>
      </c>
    </row>
    <row r="19" spans="1:8" ht="15">
      <c r="A19" s="66">
        <f t="shared" si="2"/>
        <v>3.1599999999999966</v>
      </c>
      <c r="B19" s="67">
        <f t="shared" si="3"/>
        <v>1.5200000000000018</v>
      </c>
      <c r="C19" s="69">
        <f t="shared" si="4"/>
        <v>3.4599999999999964</v>
      </c>
      <c r="D19" s="70">
        <f t="shared" si="5"/>
        <v>1.5200000000000018</v>
      </c>
      <c r="E19" s="101">
        <f t="shared" si="4"/>
        <v>3.4599999999999964</v>
      </c>
      <c r="F19" s="102">
        <f t="shared" si="5"/>
        <v>1.5200000000000018</v>
      </c>
      <c r="G19" s="103">
        <f t="shared" si="0"/>
        <v>4.159999999999997</v>
      </c>
      <c r="H19" s="104">
        <f t="shared" si="1"/>
        <v>1.5200000000000018</v>
      </c>
    </row>
    <row r="20" spans="1:8" ht="15">
      <c r="A20" s="66">
        <f t="shared" si="2"/>
        <v>3.1699999999999964</v>
      </c>
      <c r="B20" s="67">
        <f t="shared" si="3"/>
        <v>1.515000000000002</v>
      </c>
      <c r="C20" s="69">
        <f t="shared" si="4"/>
        <v>3.469999999999996</v>
      </c>
      <c r="D20" s="70">
        <f t="shared" si="5"/>
        <v>1.515000000000002</v>
      </c>
      <c r="E20" s="101">
        <f t="shared" si="4"/>
        <v>3.469999999999996</v>
      </c>
      <c r="F20" s="102">
        <f t="shared" si="5"/>
        <v>1.515000000000002</v>
      </c>
      <c r="G20" s="103">
        <f t="shared" si="0"/>
        <v>4.169999999999996</v>
      </c>
      <c r="H20" s="104">
        <f t="shared" si="1"/>
        <v>1.515000000000002</v>
      </c>
    </row>
    <row r="21" spans="1:8" ht="15">
      <c r="A21" s="66">
        <f t="shared" si="2"/>
        <v>3.179999999999996</v>
      </c>
      <c r="B21" s="67">
        <f t="shared" si="3"/>
        <v>1.510000000000002</v>
      </c>
      <c r="C21" s="69">
        <f t="shared" si="4"/>
        <v>3.479999999999996</v>
      </c>
      <c r="D21" s="70">
        <f t="shared" si="5"/>
        <v>1.510000000000002</v>
      </c>
      <c r="E21" s="101">
        <f t="shared" si="4"/>
        <v>3.479999999999996</v>
      </c>
      <c r="F21" s="102">
        <f t="shared" si="5"/>
        <v>1.510000000000002</v>
      </c>
      <c r="G21" s="103">
        <f t="shared" si="0"/>
        <v>4.179999999999996</v>
      </c>
      <c r="H21" s="104">
        <f t="shared" si="1"/>
        <v>1.510000000000002</v>
      </c>
    </row>
    <row r="22" spans="1:8" ht="15">
      <c r="A22" s="66">
        <f t="shared" si="2"/>
        <v>3.189999999999996</v>
      </c>
      <c r="B22" s="67">
        <f t="shared" si="3"/>
        <v>1.5050000000000021</v>
      </c>
      <c r="C22" s="69">
        <f t="shared" si="4"/>
        <v>3.4899999999999958</v>
      </c>
      <c r="D22" s="70">
        <f t="shared" si="5"/>
        <v>1.5050000000000021</v>
      </c>
      <c r="E22" s="101">
        <f t="shared" si="4"/>
        <v>3.4899999999999958</v>
      </c>
      <c r="F22" s="102">
        <f t="shared" si="5"/>
        <v>1.5050000000000021</v>
      </c>
      <c r="G22" s="103">
        <f t="shared" si="0"/>
        <v>4.189999999999996</v>
      </c>
      <c r="H22" s="104">
        <f t="shared" si="1"/>
        <v>1.5050000000000021</v>
      </c>
    </row>
    <row r="23" spans="1:8" ht="15">
      <c r="A23" s="66">
        <f t="shared" si="2"/>
        <v>3.1999999999999957</v>
      </c>
      <c r="B23" s="67">
        <f t="shared" si="3"/>
        <v>1.5000000000000022</v>
      </c>
      <c r="C23" s="69">
        <f t="shared" si="4"/>
        <v>3.4999999999999956</v>
      </c>
      <c r="D23" s="70">
        <f t="shared" si="5"/>
        <v>1.5000000000000022</v>
      </c>
      <c r="E23" s="101">
        <f t="shared" si="4"/>
        <v>3.4999999999999956</v>
      </c>
      <c r="F23" s="102">
        <f t="shared" si="5"/>
        <v>1.5000000000000022</v>
      </c>
      <c r="G23" s="103">
        <f t="shared" si="0"/>
        <v>4.199999999999996</v>
      </c>
      <c r="H23" s="104">
        <f t="shared" si="1"/>
        <v>1.5000000000000022</v>
      </c>
    </row>
    <row r="24" spans="1:8" ht="15">
      <c r="A24" s="66">
        <f t="shared" si="2"/>
        <v>3.2099999999999955</v>
      </c>
      <c r="B24" s="67">
        <f t="shared" si="3"/>
        <v>1.4950000000000023</v>
      </c>
      <c r="C24" s="69">
        <f t="shared" si="4"/>
        <v>3.5099999999999953</v>
      </c>
      <c r="D24" s="70">
        <f t="shared" si="5"/>
        <v>1.4950000000000023</v>
      </c>
      <c r="E24" s="101">
        <f t="shared" si="4"/>
        <v>3.5099999999999953</v>
      </c>
      <c r="F24" s="102">
        <f t="shared" si="5"/>
        <v>1.4950000000000023</v>
      </c>
      <c r="G24" s="103">
        <f t="shared" si="0"/>
        <v>4.2099999999999955</v>
      </c>
      <c r="H24" s="104">
        <f t="shared" si="1"/>
        <v>1.4950000000000023</v>
      </c>
    </row>
    <row r="25" spans="1:8" ht="15">
      <c r="A25" s="66">
        <f t="shared" si="2"/>
        <v>3.2199999999999953</v>
      </c>
      <c r="B25" s="67">
        <f t="shared" si="3"/>
        <v>1.4900000000000024</v>
      </c>
      <c r="C25" s="69">
        <f t="shared" si="4"/>
        <v>3.519999999999995</v>
      </c>
      <c r="D25" s="70">
        <f t="shared" si="5"/>
        <v>1.4900000000000024</v>
      </c>
      <c r="E25" s="101">
        <f t="shared" si="4"/>
        <v>3.519999999999995</v>
      </c>
      <c r="F25" s="102">
        <f t="shared" si="5"/>
        <v>1.4900000000000024</v>
      </c>
      <c r="G25" s="103">
        <f t="shared" si="0"/>
        <v>4.219999999999995</v>
      </c>
      <c r="H25" s="104">
        <f t="shared" si="1"/>
        <v>1.4900000000000024</v>
      </c>
    </row>
    <row r="26" spans="1:8" ht="15">
      <c r="A26" s="66">
        <f t="shared" si="2"/>
        <v>3.229999999999995</v>
      </c>
      <c r="B26" s="67">
        <f t="shared" si="3"/>
        <v>1.4850000000000025</v>
      </c>
      <c r="C26" s="69">
        <f t="shared" si="4"/>
        <v>3.529999999999995</v>
      </c>
      <c r="D26" s="70">
        <f t="shared" si="5"/>
        <v>1.4850000000000025</v>
      </c>
      <c r="E26" s="101">
        <f t="shared" si="4"/>
        <v>3.529999999999995</v>
      </c>
      <c r="F26" s="102">
        <f t="shared" si="5"/>
        <v>1.4850000000000025</v>
      </c>
      <c r="G26" s="103">
        <f t="shared" si="0"/>
        <v>4.229999999999995</v>
      </c>
      <c r="H26" s="104">
        <f t="shared" si="1"/>
        <v>1.4850000000000025</v>
      </c>
    </row>
    <row r="27" spans="1:8" ht="15">
      <c r="A27" s="66">
        <f t="shared" si="2"/>
        <v>3.239999999999995</v>
      </c>
      <c r="B27" s="67">
        <f t="shared" si="3"/>
        <v>1.4800000000000026</v>
      </c>
      <c r="C27" s="69">
        <f t="shared" si="4"/>
        <v>3.5399999999999947</v>
      </c>
      <c r="D27" s="70">
        <f t="shared" si="5"/>
        <v>1.4800000000000026</v>
      </c>
      <c r="E27" s="101">
        <f t="shared" si="4"/>
        <v>3.5399999999999947</v>
      </c>
      <c r="F27" s="102">
        <f t="shared" si="5"/>
        <v>1.4800000000000026</v>
      </c>
      <c r="G27" s="103">
        <f t="shared" si="0"/>
        <v>4.239999999999995</v>
      </c>
      <c r="H27" s="104">
        <f t="shared" si="1"/>
        <v>1.4800000000000026</v>
      </c>
    </row>
    <row r="28" spans="1:8" ht="15">
      <c r="A28" s="66">
        <f t="shared" si="2"/>
        <v>3.2499999999999947</v>
      </c>
      <c r="B28" s="67">
        <f t="shared" si="3"/>
        <v>1.4750000000000028</v>
      </c>
      <c r="C28" s="69">
        <f t="shared" si="4"/>
        <v>3.5499999999999945</v>
      </c>
      <c r="D28" s="70">
        <f t="shared" si="5"/>
        <v>1.4750000000000028</v>
      </c>
      <c r="E28" s="101">
        <f t="shared" si="4"/>
        <v>3.5499999999999945</v>
      </c>
      <c r="F28" s="102">
        <f t="shared" si="5"/>
        <v>1.4750000000000028</v>
      </c>
      <c r="G28" s="103">
        <f t="shared" si="0"/>
        <v>4.249999999999995</v>
      </c>
      <c r="H28" s="104">
        <f t="shared" si="1"/>
        <v>1.4750000000000028</v>
      </c>
    </row>
    <row r="29" spans="1:8" ht="15">
      <c r="A29" s="66">
        <f t="shared" si="2"/>
        <v>3.2599999999999945</v>
      </c>
      <c r="B29" s="67">
        <f t="shared" si="3"/>
        <v>1.4700000000000029</v>
      </c>
      <c r="C29" s="69">
        <f t="shared" si="4"/>
        <v>3.5599999999999943</v>
      </c>
      <c r="D29" s="70">
        <f t="shared" si="5"/>
        <v>1.4700000000000029</v>
      </c>
      <c r="E29" s="101">
        <f t="shared" si="4"/>
        <v>3.5599999999999943</v>
      </c>
      <c r="F29" s="102">
        <f t="shared" si="5"/>
        <v>1.4700000000000029</v>
      </c>
      <c r="G29" s="103">
        <f t="shared" si="0"/>
        <v>4.2599999999999945</v>
      </c>
      <c r="H29" s="104">
        <f t="shared" si="1"/>
        <v>1.4700000000000029</v>
      </c>
    </row>
    <row r="30" spans="1:8" ht="15">
      <c r="A30" s="66">
        <f t="shared" si="2"/>
        <v>3.2699999999999942</v>
      </c>
      <c r="B30" s="67">
        <f t="shared" si="3"/>
        <v>1.465000000000003</v>
      </c>
      <c r="C30" s="69">
        <f t="shared" si="4"/>
        <v>3.569999999999994</v>
      </c>
      <c r="D30" s="70">
        <f t="shared" si="5"/>
        <v>1.465000000000003</v>
      </c>
      <c r="E30" s="101">
        <f t="shared" si="4"/>
        <v>3.569999999999994</v>
      </c>
      <c r="F30" s="102">
        <f t="shared" si="5"/>
        <v>1.465000000000003</v>
      </c>
      <c r="G30" s="103">
        <f t="shared" si="0"/>
        <v>4.269999999999994</v>
      </c>
      <c r="H30" s="104">
        <f t="shared" si="1"/>
        <v>1.465000000000003</v>
      </c>
    </row>
    <row r="31" spans="1:8" ht="15">
      <c r="A31" s="66">
        <f t="shared" si="2"/>
        <v>3.279999999999994</v>
      </c>
      <c r="B31" s="67">
        <f t="shared" si="3"/>
        <v>1.460000000000003</v>
      </c>
      <c r="C31" s="69">
        <f t="shared" si="4"/>
        <v>3.579999999999994</v>
      </c>
      <c r="D31" s="70">
        <f t="shared" si="5"/>
        <v>1.460000000000003</v>
      </c>
      <c r="E31" s="101">
        <f t="shared" si="4"/>
        <v>3.579999999999994</v>
      </c>
      <c r="F31" s="102">
        <f t="shared" si="5"/>
        <v>1.460000000000003</v>
      </c>
      <c r="G31" s="103">
        <f t="shared" si="0"/>
        <v>4.279999999999994</v>
      </c>
      <c r="H31" s="104">
        <f t="shared" si="1"/>
        <v>1.460000000000003</v>
      </c>
    </row>
    <row r="32" spans="1:8" ht="15">
      <c r="A32" s="66">
        <f t="shared" si="2"/>
        <v>3.289999999999994</v>
      </c>
      <c r="B32" s="67">
        <f t="shared" si="3"/>
        <v>1.4550000000000032</v>
      </c>
      <c r="C32" s="69">
        <f t="shared" si="4"/>
        <v>3.5899999999999936</v>
      </c>
      <c r="D32" s="70">
        <f t="shared" si="5"/>
        <v>1.4550000000000032</v>
      </c>
      <c r="E32" s="101">
        <f t="shared" si="4"/>
        <v>3.5899999999999936</v>
      </c>
      <c r="F32" s="102">
        <f t="shared" si="5"/>
        <v>1.4550000000000032</v>
      </c>
      <c r="G32" s="103">
        <f t="shared" si="0"/>
        <v>4.289999999999994</v>
      </c>
      <c r="H32" s="104">
        <f t="shared" si="1"/>
        <v>1.4550000000000032</v>
      </c>
    </row>
    <row r="33" spans="1:8" ht="15">
      <c r="A33" s="66">
        <f t="shared" si="2"/>
        <v>3.2999999999999936</v>
      </c>
      <c r="B33" s="67">
        <f t="shared" si="3"/>
        <v>1.4500000000000033</v>
      </c>
      <c r="C33" s="69">
        <v>4</v>
      </c>
      <c r="D33" s="70">
        <f t="shared" si="5"/>
        <v>1.4500000000000033</v>
      </c>
      <c r="E33" s="101">
        <v>4</v>
      </c>
      <c r="F33" s="102">
        <f t="shared" si="5"/>
        <v>1.4500000000000033</v>
      </c>
      <c r="G33" s="103">
        <v>4.3</v>
      </c>
      <c r="H33" s="104">
        <f t="shared" si="1"/>
        <v>1.4500000000000033</v>
      </c>
    </row>
    <row r="34" spans="1:8" ht="15">
      <c r="A34" s="66">
        <f t="shared" si="2"/>
        <v>3.3099999999999934</v>
      </c>
      <c r="B34" s="67">
        <f t="shared" si="3"/>
        <v>1.4450000000000034</v>
      </c>
      <c r="C34" s="69">
        <f t="shared" si="4"/>
        <v>4.01</v>
      </c>
      <c r="D34" s="70">
        <f t="shared" si="5"/>
        <v>1.4450000000000034</v>
      </c>
      <c r="E34" s="101">
        <f t="shared" si="4"/>
        <v>4.01</v>
      </c>
      <c r="F34" s="102">
        <f t="shared" si="5"/>
        <v>1.4450000000000034</v>
      </c>
      <c r="G34" s="103">
        <f aca="true" t="shared" si="6" ref="G34:G62">G33+0.01</f>
        <v>4.31</v>
      </c>
      <c r="H34" s="104">
        <f t="shared" si="1"/>
        <v>1.4450000000000034</v>
      </c>
    </row>
    <row r="35" spans="1:8" ht="15">
      <c r="A35" s="66">
        <f t="shared" si="2"/>
        <v>3.319999999999993</v>
      </c>
      <c r="B35" s="67">
        <f t="shared" si="3"/>
        <v>1.4400000000000035</v>
      </c>
      <c r="C35" s="69">
        <f t="shared" si="4"/>
        <v>4.02</v>
      </c>
      <c r="D35" s="70">
        <f t="shared" si="5"/>
        <v>1.4400000000000035</v>
      </c>
      <c r="E35" s="101">
        <f t="shared" si="4"/>
        <v>4.02</v>
      </c>
      <c r="F35" s="102">
        <f t="shared" si="5"/>
        <v>1.4400000000000035</v>
      </c>
      <c r="G35" s="103">
        <f t="shared" si="6"/>
        <v>4.319999999999999</v>
      </c>
      <c r="H35" s="104">
        <f t="shared" si="1"/>
        <v>1.4400000000000035</v>
      </c>
    </row>
    <row r="36" spans="1:8" ht="15">
      <c r="A36" s="66">
        <f t="shared" si="2"/>
        <v>3.329999999999993</v>
      </c>
      <c r="B36" s="67">
        <f t="shared" si="3"/>
        <v>1.4350000000000036</v>
      </c>
      <c r="C36" s="69">
        <f t="shared" si="4"/>
        <v>4.029999999999999</v>
      </c>
      <c r="D36" s="70">
        <f t="shared" si="5"/>
        <v>1.4350000000000036</v>
      </c>
      <c r="E36" s="101">
        <f t="shared" si="4"/>
        <v>4.029999999999999</v>
      </c>
      <c r="F36" s="102">
        <f t="shared" si="5"/>
        <v>1.4350000000000036</v>
      </c>
      <c r="G36" s="103">
        <f t="shared" si="6"/>
        <v>4.329999999999999</v>
      </c>
      <c r="H36" s="104">
        <f aca="true" t="shared" si="7" ref="H36:H67">H35-0.005</f>
        <v>1.4350000000000036</v>
      </c>
    </row>
    <row r="37" spans="1:8" ht="15">
      <c r="A37" s="66">
        <f t="shared" si="2"/>
        <v>3.3399999999999928</v>
      </c>
      <c r="B37" s="67">
        <f t="shared" si="3"/>
        <v>1.4300000000000037</v>
      </c>
      <c r="C37" s="69">
        <f t="shared" si="4"/>
        <v>4.039999999999999</v>
      </c>
      <c r="D37" s="70">
        <f t="shared" si="5"/>
        <v>1.4300000000000037</v>
      </c>
      <c r="E37" s="101">
        <f t="shared" si="4"/>
        <v>4.039999999999999</v>
      </c>
      <c r="F37" s="102">
        <f t="shared" si="5"/>
        <v>1.4300000000000037</v>
      </c>
      <c r="G37" s="103">
        <f t="shared" si="6"/>
        <v>4.339999999999999</v>
      </c>
      <c r="H37" s="104">
        <f t="shared" si="7"/>
        <v>1.4300000000000037</v>
      </c>
    </row>
    <row r="38" spans="1:8" ht="15">
      <c r="A38" s="66">
        <f t="shared" si="2"/>
        <v>3.3499999999999925</v>
      </c>
      <c r="B38" s="67">
        <f t="shared" si="3"/>
        <v>1.4250000000000038</v>
      </c>
      <c r="C38" s="69">
        <f t="shared" si="4"/>
        <v>4.049999999999999</v>
      </c>
      <c r="D38" s="70">
        <f t="shared" si="5"/>
        <v>1.4250000000000038</v>
      </c>
      <c r="E38" s="101">
        <f t="shared" si="4"/>
        <v>4.049999999999999</v>
      </c>
      <c r="F38" s="102">
        <f t="shared" si="5"/>
        <v>1.4250000000000038</v>
      </c>
      <c r="G38" s="103">
        <f t="shared" si="6"/>
        <v>4.349999999999999</v>
      </c>
      <c r="H38" s="104">
        <f t="shared" si="7"/>
        <v>1.4250000000000038</v>
      </c>
    </row>
    <row r="39" spans="1:8" ht="15">
      <c r="A39" s="66">
        <f t="shared" si="2"/>
        <v>3.3599999999999923</v>
      </c>
      <c r="B39" s="67">
        <f t="shared" si="3"/>
        <v>1.420000000000004</v>
      </c>
      <c r="C39" s="69">
        <f t="shared" si="4"/>
        <v>4.059999999999999</v>
      </c>
      <c r="D39" s="70">
        <f t="shared" si="5"/>
        <v>1.420000000000004</v>
      </c>
      <c r="E39" s="101">
        <f t="shared" si="4"/>
        <v>4.059999999999999</v>
      </c>
      <c r="F39" s="102">
        <f t="shared" si="5"/>
        <v>1.420000000000004</v>
      </c>
      <c r="G39" s="103">
        <f t="shared" si="6"/>
        <v>4.3599999999999985</v>
      </c>
      <c r="H39" s="104">
        <f t="shared" si="7"/>
        <v>1.420000000000004</v>
      </c>
    </row>
    <row r="40" spans="1:8" ht="15">
      <c r="A40" s="66">
        <f t="shared" si="2"/>
        <v>3.369999999999992</v>
      </c>
      <c r="B40" s="67">
        <f t="shared" si="3"/>
        <v>1.415000000000004</v>
      </c>
      <c r="C40" s="69">
        <f t="shared" si="4"/>
        <v>4.0699999999999985</v>
      </c>
      <c r="D40" s="70">
        <f t="shared" si="5"/>
        <v>1.415000000000004</v>
      </c>
      <c r="E40" s="101">
        <f t="shared" si="4"/>
        <v>4.0699999999999985</v>
      </c>
      <c r="F40" s="102">
        <f t="shared" si="5"/>
        <v>1.415000000000004</v>
      </c>
      <c r="G40" s="103">
        <f t="shared" si="6"/>
        <v>4.369999999999998</v>
      </c>
      <c r="H40" s="104">
        <f t="shared" si="7"/>
        <v>1.415000000000004</v>
      </c>
    </row>
    <row r="41" spans="1:8" ht="15">
      <c r="A41" s="66">
        <f t="shared" si="2"/>
        <v>3.379999999999992</v>
      </c>
      <c r="B41" s="67">
        <f t="shared" si="3"/>
        <v>1.4100000000000041</v>
      </c>
      <c r="C41" s="69">
        <f t="shared" si="4"/>
        <v>4.079999999999998</v>
      </c>
      <c r="D41" s="70">
        <f t="shared" si="5"/>
        <v>1.4100000000000041</v>
      </c>
      <c r="E41" s="101">
        <f t="shared" si="4"/>
        <v>4.079999999999998</v>
      </c>
      <c r="F41" s="102">
        <f t="shared" si="5"/>
        <v>1.4100000000000041</v>
      </c>
      <c r="G41" s="103">
        <f t="shared" si="6"/>
        <v>4.379999999999998</v>
      </c>
      <c r="H41" s="104">
        <f t="shared" si="7"/>
        <v>1.4100000000000041</v>
      </c>
    </row>
    <row r="42" spans="1:8" ht="15">
      <c r="A42" s="66">
        <f t="shared" si="2"/>
        <v>3.3899999999999917</v>
      </c>
      <c r="B42" s="67">
        <f t="shared" si="3"/>
        <v>1.4050000000000042</v>
      </c>
      <c r="C42" s="69">
        <f t="shared" si="4"/>
        <v>4.089999999999998</v>
      </c>
      <c r="D42" s="70">
        <f t="shared" si="5"/>
        <v>1.4050000000000042</v>
      </c>
      <c r="E42" s="101">
        <f t="shared" si="4"/>
        <v>4.089999999999998</v>
      </c>
      <c r="F42" s="102">
        <f t="shared" si="5"/>
        <v>1.4050000000000042</v>
      </c>
      <c r="G42" s="103">
        <f t="shared" si="6"/>
        <v>4.389999999999998</v>
      </c>
      <c r="H42" s="104">
        <f t="shared" si="7"/>
        <v>1.4050000000000042</v>
      </c>
    </row>
    <row r="43" spans="1:8" ht="15">
      <c r="A43" s="66">
        <f t="shared" si="2"/>
        <v>3.3999999999999915</v>
      </c>
      <c r="B43" s="67">
        <f t="shared" si="3"/>
        <v>1.4000000000000044</v>
      </c>
      <c r="C43" s="69">
        <f t="shared" si="4"/>
        <v>4.099999999999998</v>
      </c>
      <c r="D43" s="70">
        <f t="shared" si="5"/>
        <v>1.4000000000000044</v>
      </c>
      <c r="E43" s="101">
        <f t="shared" si="4"/>
        <v>4.099999999999998</v>
      </c>
      <c r="F43" s="102">
        <f t="shared" si="5"/>
        <v>1.4000000000000044</v>
      </c>
      <c r="G43" s="103">
        <f t="shared" si="6"/>
        <v>4.399999999999998</v>
      </c>
      <c r="H43" s="104">
        <f t="shared" si="7"/>
        <v>1.4000000000000044</v>
      </c>
    </row>
    <row r="44" spans="1:8" ht="15">
      <c r="A44" s="66">
        <f t="shared" si="2"/>
        <v>3.4099999999999913</v>
      </c>
      <c r="B44" s="67">
        <f t="shared" si="3"/>
        <v>1.3950000000000045</v>
      </c>
      <c r="C44" s="69">
        <f t="shared" si="4"/>
        <v>4.109999999999998</v>
      </c>
      <c r="D44" s="70">
        <f t="shared" si="5"/>
        <v>1.3950000000000045</v>
      </c>
      <c r="E44" s="101">
        <f t="shared" si="4"/>
        <v>4.109999999999998</v>
      </c>
      <c r="F44" s="102">
        <f t="shared" si="5"/>
        <v>1.3950000000000045</v>
      </c>
      <c r="G44" s="103">
        <f t="shared" si="6"/>
        <v>4.4099999999999975</v>
      </c>
      <c r="H44" s="104">
        <f t="shared" si="7"/>
        <v>1.3950000000000045</v>
      </c>
    </row>
    <row r="45" spans="1:8" ht="15">
      <c r="A45" s="66">
        <f t="shared" si="2"/>
        <v>3.419999999999991</v>
      </c>
      <c r="B45" s="67">
        <f t="shared" si="3"/>
        <v>1.3900000000000046</v>
      </c>
      <c r="C45" s="69">
        <f t="shared" si="4"/>
        <v>4.119999999999997</v>
      </c>
      <c r="D45" s="70">
        <f t="shared" si="5"/>
        <v>1.3900000000000046</v>
      </c>
      <c r="E45" s="101">
        <f t="shared" si="4"/>
        <v>4.119999999999997</v>
      </c>
      <c r="F45" s="102">
        <f t="shared" si="5"/>
        <v>1.3900000000000046</v>
      </c>
      <c r="G45" s="103">
        <f t="shared" si="6"/>
        <v>4.419999999999997</v>
      </c>
      <c r="H45" s="104">
        <f t="shared" si="7"/>
        <v>1.3900000000000046</v>
      </c>
    </row>
    <row r="46" spans="1:8" ht="15">
      <c r="A46" s="66">
        <f t="shared" si="2"/>
        <v>3.429999999999991</v>
      </c>
      <c r="B46" s="67">
        <f t="shared" si="3"/>
        <v>1.3850000000000047</v>
      </c>
      <c r="C46" s="69">
        <f t="shared" si="4"/>
        <v>4.129999999999997</v>
      </c>
      <c r="D46" s="70">
        <f t="shared" si="5"/>
        <v>1.3850000000000047</v>
      </c>
      <c r="E46" s="101">
        <f t="shared" si="4"/>
        <v>4.129999999999997</v>
      </c>
      <c r="F46" s="102">
        <f t="shared" si="5"/>
        <v>1.3850000000000047</v>
      </c>
      <c r="G46" s="103">
        <f t="shared" si="6"/>
        <v>4.429999999999997</v>
      </c>
      <c r="H46" s="104">
        <f t="shared" si="7"/>
        <v>1.3850000000000047</v>
      </c>
    </row>
    <row r="47" spans="1:8" ht="15">
      <c r="A47" s="66">
        <f t="shared" si="2"/>
        <v>3.4399999999999906</v>
      </c>
      <c r="B47" s="67">
        <f t="shared" si="3"/>
        <v>1.3800000000000048</v>
      </c>
      <c r="C47" s="69">
        <f t="shared" si="4"/>
        <v>4.139999999999997</v>
      </c>
      <c r="D47" s="70">
        <f t="shared" si="5"/>
        <v>1.3800000000000048</v>
      </c>
      <c r="E47" s="101">
        <f t="shared" si="4"/>
        <v>4.139999999999997</v>
      </c>
      <c r="F47" s="102">
        <f t="shared" si="5"/>
        <v>1.3800000000000048</v>
      </c>
      <c r="G47" s="103">
        <f t="shared" si="6"/>
        <v>4.439999999999997</v>
      </c>
      <c r="H47" s="104">
        <f t="shared" si="7"/>
        <v>1.3800000000000048</v>
      </c>
    </row>
    <row r="48" spans="1:8" ht="15">
      <c r="A48" s="66">
        <f t="shared" si="2"/>
        <v>3.4499999999999904</v>
      </c>
      <c r="B48" s="67">
        <f t="shared" si="3"/>
        <v>1.3750000000000049</v>
      </c>
      <c r="C48" s="69">
        <f t="shared" si="4"/>
        <v>4.149999999999997</v>
      </c>
      <c r="D48" s="70">
        <f t="shared" si="5"/>
        <v>1.3750000000000049</v>
      </c>
      <c r="E48" s="101">
        <f t="shared" si="4"/>
        <v>4.149999999999997</v>
      </c>
      <c r="F48" s="102">
        <f t="shared" si="5"/>
        <v>1.3750000000000049</v>
      </c>
      <c r="G48" s="103">
        <f t="shared" si="6"/>
        <v>4.449999999999997</v>
      </c>
      <c r="H48" s="104">
        <f t="shared" si="7"/>
        <v>1.3750000000000049</v>
      </c>
    </row>
    <row r="49" spans="1:8" ht="15">
      <c r="A49" s="66">
        <f t="shared" si="2"/>
        <v>3.45999999999999</v>
      </c>
      <c r="B49" s="67">
        <f t="shared" si="3"/>
        <v>1.370000000000005</v>
      </c>
      <c r="C49" s="69">
        <f t="shared" si="4"/>
        <v>4.159999999999997</v>
      </c>
      <c r="D49" s="70">
        <f t="shared" si="5"/>
        <v>1.370000000000005</v>
      </c>
      <c r="E49" s="101">
        <f t="shared" si="4"/>
        <v>4.159999999999997</v>
      </c>
      <c r="F49" s="102">
        <f t="shared" si="5"/>
        <v>1.370000000000005</v>
      </c>
      <c r="G49" s="103">
        <f t="shared" si="6"/>
        <v>4.459999999999996</v>
      </c>
      <c r="H49" s="104">
        <f t="shared" si="7"/>
        <v>1.370000000000005</v>
      </c>
    </row>
    <row r="50" spans="1:8" ht="15">
      <c r="A50" s="66">
        <f t="shared" si="2"/>
        <v>3.46999999999999</v>
      </c>
      <c r="B50" s="67">
        <f t="shared" si="3"/>
        <v>1.365000000000005</v>
      </c>
      <c r="C50" s="69">
        <f t="shared" si="4"/>
        <v>4.169999999999996</v>
      </c>
      <c r="D50" s="70">
        <f t="shared" si="5"/>
        <v>1.365000000000005</v>
      </c>
      <c r="E50" s="101">
        <f t="shared" si="4"/>
        <v>4.169999999999996</v>
      </c>
      <c r="F50" s="102">
        <f t="shared" si="5"/>
        <v>1.365000000000005</v>
      </c>
      <c r="G50" s="103">
        <f t="shared" si="6"/>
        <v>4.469999999999996</v>
      </c>
      <c r="H50" s="104">
        <f t="shared" si="7"/>
        <v>1.365000000000005</v>
      </c>
    </row>
    <row r="51" spans="1:8" ht="15">
      <c r="A51" s="66">
        <f t="shared" si="2"/>
        <v>3.4799999999999898</v>
      </c>
      <c r="B51" s="67">
        <f t="shared" si="3"/>
        <v>1.3600000000000052</v>
      </c>
      <c r="C51" s="69">
        <f t="shared" si="4"/>
        <v>4.179999999999996</v>
      </c>
      <c r="D51" s="70">
        <f t="shared" si="5"/>
        <v>1.3600000000000052</v>
      </c>
      <c r="E51" s="101">
        <f t="shared" si="4"/>
        <v>4.179999999999996</v>
      </c>
      <c r="F51" s="102">
        <f t="shared" si="5"/>
        <v>1.3600000000000052</v>
      </c>
      <c r="G51" s="103">
        <f t="shared" si="6"/>
        <v>4.479999999999996</v>
      </c>
      <c r="H51" s="104">
        <f t="shared" si="7"/>
        <v>1.3600000000000052</v>
      </c>
    </row>
    <row r="52" spans="1:8" ht="15">
      <c r="A52" s="66">
        <f t="shared" si="2"/>
        <v>3.4899999999999896</v>
      </c>
      <c r="B52" s="67">
        <f t="shared" si="3"/>
        <v>1.3550000000000053</v>
      </c>
      <c r="C52" s="69">
        <f t="shared" si="4"/>
        <v>4.189999999999996</v>
      </c>
      <c r="D52" s="70">
        <f t="shared" si="5"/>
        <v>1.3550000000000053</v>
      </c>
      <c r="E52" s="101">
        <f t="shared" si="4"/>
        <v>4.189999999999996</v>
      </c>
      <c r="F52" s="102">
        <f t="shared" si="5"/>
        <v>1.3550000000000053</v>
      </c>
      <c r="G52" s="103">
        <f t="shared" si="6"/>
        <v>4.489999999999996</v>
      </c>
      <c r="H52" s="104">
        <f t="shared" si="7"/>
        <v>1.3550000000000053</v>
      </c>
    </row>
    <row r="53" spans="1:8" ht="15">
      <c r="A53" s="66">
        <f t="shared" si="2"/>
        <v>3.4999999999999893</v>
      </c>
      <c r="B53" s="67">
        <f t="shared" si="3"/>
        <v>1.3500000000000054</v>
      </c>
      <c r="C53" s="69">
        <f t="shared" si="4"/>
        <v>4.199999999999996</v>
      </c>
      <c r="D53" s="70">
        <f t="shared" si="5"/>
        <v>1.3500000000000054</v>
      </c>
      <c r="E53" s="101">
        <f t="shared" si="4"/>
        <v>4.199999999999996</v>
      </c>
      <c r="F53" s="102">
        <f t="shared" si="5"/>
        <v>1.3500000000000054</v>
      </c>
      <c r="G53" s="103">
        <f t="shared" si="6"/>
        <v>4.499999999999996</v>
      </c>
      <c r="H53" s="104">
        <f t="shared" si="7"/>
        <v>1.3500000000000054</v>
      </c>
    </row>
    <row r="54" spans="1:8" ht="15">
      <c r="A54" s="66">
        <f t="shared" si="2"/>
        <v>3.509999999999989</v>
      </c>
      <c r="B54" s="67">
        <f t="shared" si="3"/>
        <v>1.3450000000000055</v>
      </c>
      <c r="C54" s="69">
        <f t="shared" si="4"/>
        <v>4.2099999999999955</v>
      </c>
      <c r="D54" s="70">
        <f t="shared" si="5"/>
        <v>1.3450000000000055</v>
      </c>
      <c r="E54" s="101">
        <f t="shared" si="4"/>
        <v>4.2099999999999955</v>
      </c>
      <c r="F54" s="102">
        <f t="shared" si="5"/>
        <v>1.3450000000000055</v>
      </c>
      <c r="G54" s="103">
        <f t="shared" si="6"/>
        <v>4.509999999999995</v>
      </c>
      <c r="H54" s="104">
        <f t="shared" si="7"/>
        <v>1.3450000000000055</v>
      </c>
    </row>
    <row r="55" spans="1:8" ht="15">
      <c r="A55" s="66">
        <f t="shared" si="2"/>
        <v>3.519999999999989</v>
      </c>
      <c r="B55" s="67">
        <f t="shared" si="3"/>
        <v>1.3400000000000056</v>
      </c>
      <c r="C55" s="69">
        <f t="shared" si="4"/>
        <v>4.219999999999995</v>
      </c>
      <c r="D55" s="70">
        <f t="shared" si="5"/>
        <v>1.3400000000000056</v>
      </c>
      <c r="E55" s="101">
        <f t="shared" si="4"/>
        <v>4.219999999999995</v>
      </c>
      <c r="F55" s="102">
        <f t="shared" si="5"/>
        <v>1.3400000000000056</v>
      </c>
      <c r="G55" s="103">
        <f t="shared" si="6"/>
        <v>4.519999999999995</v>
      </c>
      <c r="H55" s="104">
        <f t="shared" si="7"/>
        <v>1.3400000000000056</v>
      </c>
    </row>
    <row r="56" spans="1:8" ht="15">
      <c r="A56" s="66">
        <f t="shared" si="2"/>
        <v>3.5299999999999887</v>
      </c>
      <c r="B56" s="67">
        <f t="shared" si="3"/>
        <v>1.3350000000000057</v>
      </c>
      <c r="C56" s="69">
        <f t="shared" si="4"/>
        <v>4.229999999999995</v>
      </c>
      <c r="D56" s="70">
        <f t="shared" si="5"/>
        <v>1.3350000000000057</v>
      </c>
      <c r="E56" s="101">
        <f t="shared" si="4"/>
        <v>4.229999999999995</v>
      </c>
      <c r="F56" s="102">
        <f t="shared" si="5"/>
        <v>1.3350000000000057</v>
      </c>
      <c r="G56" s="103">
        <f t="shared" si="6"/>
        <v>4.529999999999995</v>
      </c>
      <c r="H56" s="104">
        <f t="shared" si="7"/>
        <v>1.3350000000000057</v>
      </c>
    </row>
    <row r="57" spans="1:8" ht="15">
      <c r="A57" s="66">
        <f t="shared" si="2"/>
        <v>3.5399999999999885</v>
      </c>
      <c r="B57" s="67">
        <f t="shared" si="3"/>
        <v>1.3300000000000058</v>
      </c>
      <c r="C57" s="69">
        <f t="shared" si="4"/>
        <v>4.239999999999995</v>
      </c>
      <c r="D57" s="70">
        <f t="shared" si="5"/>
        <v>1.3300000000000058</v>
      </c>
      <c r="E57" s="101">
        <f t="shared" si="4"/>
        <v>4.239999999999995</v>
      </c>
      <c r="F57" s="102">
        <f t="shared" si="5"/>
        <v>1.3300000000000058</v>
      </c>
      <c r="G57" s="103">
        <f t="shared" si="6"/>
        <v>4.539999999999995</v>
      </c>
      <c r="H57" s="104">
        <f t="shared" si="7"/>
        <v>1.3300000000000058</v>
      </c>
    </row>
    <row r="58" spans="1:8" ht="15">
      <c r="A58" s="66">
        <f t="shared" si="2"/>
        <v>3.5499999999999883</v>
      </c>
      <c r="B58" s="67">
        <f t="shared" si="3"/>
        <v>1.325000000000006</v>
      </c>
      <c r="C58" s="69">
        <f t="shared" si="4"/>
        <v>4.249999999999995</v>
      </c>
      <c r="D58" s="70">
        <f t="shared" si="5"/>
        <v>1.325000000000006</v>
      </c>
      <c r="E58" s="101">
        <f t="shared" si="4"/>
        <v>4.249999999999995</v>
      </c>
      <c r="F58" s="102">
        <f t="shared" si="5"/>
        <v>1.325000000000006</v>
      </c>
      <c r="G58" s="103">
        <f t="shared" si="6"/>
        <v>4.5499999999999945</v>
      </c>
      <c r="H58" s="104">
        <f t="shared" si="7"/>
        <v>1.325000000000006</v>
      </c>
    </row>
    <row r="59" spans="1:8" ht="15">
      <c r="A59" s="66">
        <f t="shared" si="2"/>
        <v>3.559999999999988</v>
      </c>
      <c r="B59" s="67">
        <f t="shared" si="3"/>
        <v>1.320000000000006</v>
      </c>
      <c r="C59" s="69">
        <f t="shared" si="4"/>
        <v>4.2599999999999945</v>
      </c>
      <c r="D59" s="70">
        <f t="shared" si="5"/>
        <v>1.320000000000006</v>
      </c>
      <c r="E59" s="101">
        <f t="shared" si="4"/>
        <v>4.2599999999999945</v>
      </c>
      <c r="F59" s="102">
        <f t="shared" si="5"/>
        <v>1.320000000000006</v>
      </c>
      <c r="G59" s="103">
        <f t="shared" si="6"/>
        <v>4.559999999999994</v>
      </c>
      <c r="H59" s="104">
        <f t="shared" si="7"/>
        <v>1.320000000000006</v>
      </c>
    </row>
    <row r="60" spans="1:8" ht="15">
      <c r="A60" s="66">
        <f t="shared" si="2"/>
        <v>3.569999999999988</v>
      </c>
      <c r="B60" s="67">
        <f t="shared" si="3"/>
        <v>1.3150000000000062</v>
      </c>
      <c r="C60" s="69">
        <f t="shared" si="4"/>
        <v>4.269999999999994</v>
      </c>
      <c r="D60" s="70">
        <f t="shared" si="5"/>
        <v>1.3150000000000062</v>
      </c>
      <c r="E60" s="101">
        <f t="shared" si="4"/>
        <v>4.269999999999994</v>
      </c>
      <c r="F60" s="102">
        <f t="shared" si="5"/>
        <v>1.3150000000000062</v>
      </c>
      <c r="G60" s="103">
        <f t="shared" si="6"/>
        <v>4.569999999999994</v>
      </c>
      <c r="H60" s="104">
        <f t="shared" si="7"/>
        <v>1.3150000000000062</v>
      </c>
    </row>
    <row r="61" spans="1:8" ht="15">
      <c r="A61" s="66">
        <f t="shared" si="2"/>
        <v>3.5799999999999876</v>
      </c>
      <c r="B61" s="67">
        <f t="shared" si="3"/>
        <v>1.3100000000000063</v>
      </c>
      <c r="C61" s="69">
        <f t="shared" si="4"/>
        <v>4.279999999999994</v>
      </c>
      <c r="D61" s="70">
        <f t="shared" si="5"/>
        <v>1.3100000000000063</v>
      </c>
      <c r="E61" s="101">
        <f t="shared" si="4"/>
        <v>4.279999999999994</v>
      </c>
      <c r="F61" s="102">
        <f t="shared" si="5"/>
        <v>1.3100000000000063</v>
      </c>
      <c r="G61" s="103">
        <f t="shared" si="6"/>
        <v>4.579999999999994</v>
      </c>
      <c r="H61" s="104">
        <f t="shared" si="7"/>
        <v>1.3100000000000063</v>
      </c>
    </row>
    <row r="62" spans="1:8" ht="15">
      <c r="A62" s="66">
        <f t="shared" si="2"/>
        <v>3.5899999999999874</v>
      </c>
      <c r="B62" s="67">
        <f t="shared" si="3"/>
        <v>1.3050000000000064</v>
      </c>
      <c r="C62" s="69">
        <f t="shared" si="4"/>
        <v>4.289999999999994</v>
      </c>
      <c r="D62" s="70">
        <f t="shared" si="5"/>
        <v>1.3050000000000064</v>
      </c>
      <c r="E62" s="101">
        <f t="shared" si="4"/>
        <v>4.289999999999994</v>
      </c>
      <c r="F62" s="102">
        <f t="shared" si="5"/>
        <v>1.3050000000000064</v>
      </c>
      <c r="G62" s="103">
        <f t="shared" si="6"/>
        <v>4.589999999999994</v>
      </c>
      <c r="H62" s="104">
        <f t="shared" si="7"/>
        <v>1.3050000000000064</v>
      </c>
    </row>
    <row r="63" spans="1:8" ht="15">
      <c r="A63" s="66">
        <v>4</v>
      </c>
      <c r="B63" s="67">
        <f t="shared" si="3"/>
        <v>1.3000000000000065</v>
      </c>
      <c r="C63" s="69">
        <f t="shared" si="4"/>
        <v>4.299999999999994</v>
      </c>
      <c r="D63" s="70">
        <f t="shared" si="5"/>
        <v>1.3000000000000065</v>
      </c>
      <c r="E63" s="101">
        <f t="shared" si="4"/>
        <v>4.299999999999994</v>
      </c>
      <c r="F63" s="102">
        <f t="shared" si="5"/>
        <v>1.3000000000000065</v>
      </c>
      <c r="G63" s="103">
        <v>5</v>
      </c>
      <c r="H63" s="104">
        <f t="shared" si="7"/>
        <v>1.3000000000000065</v>
      </c>
    </row>
    <row r="64" spans="1:8" ht="15">
      <c r="A64" s="66">
        <f>A63+0.01</f>
        <v>4.01</v>
      </c>
      <c r="B64" s="67">
        <f t="shared" si="3"/>
        <v>1.2950000000000066</v>
      </c>
      <c r="C64" s="69">
        <f t="shared" si="4"/>
        <v>4.309999999999993</v>
      </c>
      <c r="D64" s="70">
        <f t="shared" si="5"/>
        <v>1.2950000000000066</v>
      </c>
      <c r="E64" s="101">
        <f t="shared" si="4"/>
        <v>4.309999999999993</v>
      </c>
      <c r="F64" s="102">
        <f t="shared" si="5"/>
        <v>1.2950000000000066</v>
      </c>
      <c r="G64" s="103">
        <v>5.01</v>
      </c>
      <c r="H64" s="104">
        <f t="shared" si="7"/>
        <v>1.2950000000000066</v>
      </c>
    </row>
    <row r="65" spans="1:8" ht="15">
      <c r="A65" s="66">
        <f aca="true" t="shared" si="8" ref="A65:A122">A64+0.01</f>
        <v>4.02</v>
      </c>
      <c r="B65" s="67">
        <f t="shared" si="3"/>
        <v>1.2900000000000067</v>
      </c>
      <c r="C65" s="69">
        <f t="shared" si="4"/>
        <v>4.319999999999993</v>
      </c>
      <c r="D65" s="70">
        <f t="shared" si="5"/>
        <v>1.2900000000000067</v>
      </c>
      <c r="E65" s="101">
        <f t="shared" si="4"/>
        <v>4.319999999999993</v>
      </c>
      <c r="F65" s="102">
        <f t="shared" si="5"/>
        <v>1.2900000000000067</v>
      </c>
      <c r="G65" s="103">
        <f aca="true" t="shared" si="9" ref="G65:G92">G64+0.01</f>
        <v>5.02</v>
      </c>
      <c r="H65" s="104">
        <f t="shared" si="7"/>
        <v>1.2900000000000067</v>
      </c>
    </row>
    <row r="66" spans="1:8" ht="15">
      <c r="A66" s="66">
        <f t="shared" si="8"/>
        <v>4.029999999999999</v>
      </c>
      <c r="B66" s="67">
        <f t="shared" si="3"/>
        <v>1.2850000000000068</v>
      </c>
      <c r="C66" s="69">
        <f t="shared" si="4"/>
        <v>4.329999999999993</v>
      </c>
      <c r="D66" s="70">
        <f t="shared" si="5"/>
        <v>1.2850000000000068</v>
      </c>
      <c r="E66" s="101">
        <f t="shared" si="4"/>
        <v>4.329999999999993</v>
      </c>
      <c r="F66" s="102">
        <f t="shared" si="5"/>
        <v>1.2850000000000068</v>
      </c>
      <c r="G66" s="103">
        <f t="shared" si="9"/>
        <v>5.029999999999999</v>
      </c>
      <c r="H66" s="104">
        <f t="shared" si="7"/>
        <v>1.2850000000000068</v>
      </c>
    </row>
    <row r="67" spans="1:8" ht="15">
      <c r="A67" s="66">
        <f t="shared" si="8"/>
        <v>4.039999999999999</v>
      </c>
      <c r="B67" s="67">
        <f t="shared" si="3"/>
        <v>1.280000000000007</v>
      </c>
      <c r="C67" s="69">
        <f t="shared" si="4"/>
        <v>4.339999999999993</v>
      </c>
      <c r="D67" s="70">
        <f t="shared" si="5"/>
        <v>1.280000000000007</v>
      </c>
      <c r="E67" s="101">
        <f t="shared" si="4"/>
        <v>4.339999999999993</v>
      </c>
      <c r="F67" s="102">
        <f t="shared" si="5"/>
        <v>1.280000000000007</v>
      </c>
      <c r="G67" s="103">
        <f t="shared" si="9"/>
        <v>5.039999999999999</v>
      </c>
      <c r="H67" s="104">
        <f t="shared" si="7"/>
        <v>1.280000000000007</v>
      </c>
    </row>
    <row r="68" spans="1:8" ht="15">
      <c r="A68" s="66">
        <f t="shared" si="8"/>
        <v>4.049999999999999</v>
      </c>
      <c r="B68" s="67">
        <f t="shared" si="3"/>
        <v>1.275000000000007</v>
      </c>
      <c r="C68" s="69">
        <f t="shared" si="4"/>
        <v>4.3499999999999925</v>
      </c>
      <c r="D68" s="70">
        <f t="shared" si="5"/>
        <v>1.275000000000007</v>
      </c>
      <c r="E68" s="101">
        <f t="shared" si="4"/>
        <v>4.3499999999999925</v>
      </c>
      <c r="F68" s="102">
        <f t="shared" si="5"/>
        <v>1.275000000000007</v>
      </c>
      <c r="G68" s="103">
        <f t="shared" si="9"/>
        <v>5.049999999999999</v>
      </c>
      <c r="H68" s="104">
        <f aca="true" t="shared" si="10" ref="H68:H99">H67-0.005</f>
        <v>1.275000000000007</v>
      </c>
    </row>
    <row r="69" spans="1:8" ht="15">
      <c r="A69" s="66">
        <f t="shared" si="8"/>
        <v>4.059999999999999</v>
      </c>
      <c r="B69" s="67">
        <f aca="true" t="shared" si="11" ref="B69:B122">B68-0.005</f>
        <v>1.2700000000000071</v>
      </c>
      <c r="C69" s="69">
        <f aca="true" t="shared" si="12" ref="C69:E123">C68+0.01</f>
        <v>4.359999999999992</v>
      </c>
      <c r="D69" s="70">
        <f aca="true" t="shared" si="13" ref="D69:F123">D68-0.005</f>
        <v>1.2700000000000071</v>
      </c>
      <c r="E69" s="101">
        <f t="shared" si="12"/>
        <v>4.359999999999992</v>
      </c>
      <c r="F69" s="102">
        <f t="shared" si="13"/>
        <v>1.2700000000000071</v>
      </c>
      <c r="G69" s="103">
        <f t="shared" si="9"/>
        <v>5.059999999999999</v>
      </c>
      <c r="H69" s="104">
        <f t="shared" si="10"/>
        <v>1.2700000000000071</v>
      </c>
    </row>
    <row r="70" spans="1:8" ht="15">
      <c r="A70" s="66">
        <f t="shared" si="8"/>
        <v>4.0699999999999985</v>
      </c>
      <c r="B70" s="67">
        <f t="shared" si="11"/>
        <v>1.2650000000000072</v>
      </c>
      <c r="C70" s="69">
        <f t="shared" si="12"/>
        <v>4.369999999999992</v>
      </c>
      <c r="D70" s="70">
        <f t="shared" si="13"/>
        <v>1.2650000000000072</v>
      </c>
      <c r="E70" s="101">
        <f t="shared" si="12"/>
        <v>4.369999999999992</v>
      </c>
      <c r="F70" s="102">
        <f t="shared" si="13"/>
        <v>1.2650000000000072</v>
      </c>
      <c r="G70" s="103">
        <f t="shared" si="9"/>
        <v>5.0699999999999985</v>
      </c>
      <c r="H70" s="104">
        <f t="shared" si="10"/>
        <v>1.2650000000000072</v>
      </c>
    </row>
    <row r="71" spans="1:8" ht="15">
      <c r="A71" s="66">
        <f t="shared" si="8"/>
        <v>4.079999999999998</v>
      </c>
      <c r="B71" s="67">
        <f t="shared" si="11"/>
        <v>1.2600000000000073</v>
      </c>
      <c r="C71" s="69">
        <f t="shared" si="12"/>
        <v>4.379999999999992</v>
      </c>
      <c r="D71" s="70">
        <f t="shared" si="13"/>
        <v>1.2600000000000073</v>
      </c>
      <c r="E71" s="101">
        <f t="shared" si="12"/>
        <v>4.379999999999992</v>
      </c>
      <c r="F71" s="102">
        <f t="shared" si="13"/>
        <v>1.2600000000000073</v>
      </c>
      <c r="G71" s="103">
        <f t="shared" si="9"/>
        <v>5.079999999999998</v>
      </c>
      <c r="H71" s="104">
        <f t="shared" si="10"/>
        <v>1.2600000000000073</v>
      </c>
    </row>
    <row r="72" spans="1:8" ht="15">
      <c r="A72" s="66">
        <f t="shared" si="8"/>
        <v>4.089999999999998</v>
      </c>
      <c r="B72" s="67">
        <f t="shared" si="11"/>
        <v>1.2550000000000074</v>
      </c>
      <c r="C72" s="69">
        <f t="shared" si="12"/>
        <v>4.389999999999992</v>
      </c>
      <c r="D72" s="70">
        <f t="shared" si="13"/>
        <v>1.2550000000000074</v>
      </c>
      <c r="E72" s="101">
        <f t="shared" si="12"/>
        <v>4.389999999999992</v>
      </c>
      <c r="F72" s="102">
        <f t="shared" si="13"/>
        <v>1.2550000000000074</v>
      </c>
      <c r="G72" s="103">
        <f t="shared" si="9"/>
        <v>5.089999999999998</v>
      </c>
      <c r="H72" s="104">
        <f t="shared" si="10"/>
        <v>1.2550000000000074</v>
      </c>
    </row>
    <row r="73" spans="1:8" ht="15">
      <c r="A73" s="66">
        <f t="shared" si="8"/>
        <v>4.099999999999998</v>
      </c>
      <c r="B73" s="67">
        <f t="shared" si="11"/>
        <v>1.2500000000000075</v>
      </c>
      <c r="C73" s="69">
        <f t="shared" si="12"/>
        <v>4.3999999999999915</v>
      </c>
      <c r="D73" s="70">
        <f t="shared" si="13"/>
        <v>1.2500000000000075</v>
      </c>
      <c r="E73" s="101">
        <f t="shared" si="12"/>
        <v>4.3999999999999915</v>
      </c>
      <c r="F73" s="102">
        <f t="shared" si="13"/>
        <v>1.2500000000000075</v>
      </c>
      <c r="G73" s="103">
        <f t="shared" si="9"/>
        <v>5.099999999999998</v>
      </c>
      <c r="H73" s="104">
        <f t="shared" si="10"/>
        <v>1.2500000000000075</v>
      </c>
    </row>
    <row r="74" spans="1:8" ht="15">
      <c r="A74" s="66">
        <f t="shared" si="8"/>
        <v>4.109999999999998</v>
      </c>
      <c r="B74" s="67">
        <f t="shared" si="11"/>
        <v>1.2450000000000077</v>
      </c>
      <c r="C74" s="69">
        <f t="shared" si="12"/>
        <v>4.409999999999991</v>
      </c>
      <c r="D74" s="70">
        <f t="shared" si="13"/>
        <v>1.2450000000000077</v>
      </c>
      <c r="E74" s="101">
        <f t="shared" si="12"/>
        <v>4.409999999999991</v>
      </c>
      <c r="F74" s="102">
        <f t="shared" si="13"/>
        <v>1.2450000000000077</v>
      </c>
      <c r="G74" s="103">
        <f t="shared" si="9"/>
        <v>5.109999999999998</v>
      </c>
      <c r="H74" s="104">
        <f t="shared" si="10"/>
        <v>1.2450000000000077</v>
      </c>
    </row>
    <row r="75" spans="1:8" ht="15">
      <c r="A75" s="66">
        <f t="shared" si="8"/>
        <v>4.119999999999997</v>
      </c>
      <c r="B75" s="67">
        <f t="shared" si="11"/>
        <v>1.2400000000000078</v>
      </c>
      <c r="C75" s="69">
        <f t="shared" si="12"/>
        <v>4.419999999999991</v>
      </c>
      <c r="D75" s="70">
        <f t="shared" si="13"/>
        <v>1.2400000000000078</v>
      </c>
      <c r="E75" s="101">
        <f t="shared" si="12"/>
        <v>4.419999999999991</v>
      </c>
      <c r="F75" s="102">
        <f t="shared" si="13"/>
        <v>1.2400000000000078</v>
      </c>
      <c r="G75" s="103">
        <f t="shared" si="9"/>
        <v>5.119999999999997</v>
      </c>
      <c r="H75" s="104">
        <f t="shared" si="10"/>
        <v>1.2400000000000078</v>
      </c>
    </row>
    <row r="76" spans="1:8" ht="15">
      <c r="A76" s="66">
        <f t="shared" si="8"/>
        <v>4.129999999999997</v>
      </c>
      <c r="B76" s="67">
        <f t="shared" si="11"/>
        <v>1.2350000000000079</v>
      </c>
      <c r="C76" s="69">
        <f t="shared" si="12"/>
        <v>4.429999999999991</v>
      </c>
      <c r="D76" s="70">
        <f t="shared" si="13"/>
        <v>1.2350000000000079</v>
      </c>
      <c r="E76" s="101">
        <f t="shared" si="12"/>
        <v>4.429999999999991</v>
      </c>
      <c r="F76" s="102">
        <f t="shared" si="13"/>
        <v>1.2350000000000079</v>
      </c>
      <c r="G76" s="103">
        <f t="shared" si="9"/>
        <v>5.129999999999997</v>
      </c>
      <c r="H76" s="104">
        <f t="shared" si="10"/>
        <v>1.2350000000000079</v>
      </c>
    </row>
    <row r="77" spans="1:8" ht="15">
      <c r="A77" s="66">
        <f t="shared" si="8"/>
        <v>4.139999999999997</v>
      </c>
      <c r="B77" s="67">
        <f t="shared" si="11"/>
        <v>1.230000000000008</v>
      </c>
      <c r="C77" s="69">
        <f t="shared" si="12"/>
        <v>4.439999999999991</v>
      </c>
      <c r="D77" s="70">
        <f t="shared" si="13"/>
        <v>1.230000000000008</v>
      </c>
      <c r="E77" s="101">
        <f t="shared" si="12"/>
        <v>4.439999999999991</v>
      </c>
      <c r="F77" s="102">
        <f t="shared" si="13"/>
        <v>1.230000000000008</v>
      </c>
      <c r="G77" s="103">
        <f t="shared" si="9"/>
        <v>5.139999999999997</v>
      </c>
      <c r="H77" s="104">
        <f t="shared" si="10"/>
        <v>1.230000000000008</v>
      </c>
    </row>
    <row r="78" spans="1:8" ht="15">
      <c r="A78" s="66">
        <f t="shared" si="8"/>
        <v>4.149999999999997</v>
      </c>
      <c r="B78" s="67">
        <f t="shared" si="11"/>
        <v>1.225000000000008</v>
      </c>
      <c r="C78" s="69">
        <f t="shared" si="12"/>
        <v>4.44999999999999</v>
      </c>
      <c r="D78" s="70">
        <f t="shared" si="13"/>
        <v>1.225000000000008</v>
      </c>
      <c r="E78" s="101">
        <f t="shared" si="12"/>
        <v>4.44999999999999</v>
      </c>
      <c r="F78" s="102">
        <f t="shared" si="13"/>
        <v>1.225000000000008</v>
      </c>
      <c r="G78" s="103">
        <f t="shared" si="9"/>
        <v>5.149999999999997</v>
      </c>
      <c r="H78" s="104">
        <f t="shared" si="10"/>
        <v>1.225000000000008</v>
      </c>
    </row>
    <row r="79" spans="1:8" ht="15">
      <c r="A79" s="66">
        <f t="shared" si="8"/>
        <v>4.159999999999997</v>
      </c>
      <c r="B79" s="67">
        <f t="shared" si="11"/>
        <v>1.2200000000000082</v>
      </c>
      <c r="C79" s="69">
        <f t="shared" si="12"/>
        <v>4.45999999999999</v>
      </c>
      <c r="D79" s="70">
        <f t="shared" si="13"/>
        <v>1.2200000000000082</v>
      </c>
      <c r="E79" s="101">
        <f t="shared" si="12"/>
        <v>4.45999999999999</v>
      </c>
      <c r="F79" s="102">
        <f t="shared" si="13"/>
        <v>1.2200000000000082</v>
      </c>
      <c r="G79" s="103">
        <f t="shared" si="9"/>
        <v>5.159999999999997</v>
      </c>
      <c r="H79" s="104">
        <f t="shared" si="10"/>
        <v>1.2200000000000082</v>
      </c>
    </row>
    <row r="80" spans="1:8" ht="15">
      <c r="A80" s="66">
        <f t="shared" si="8"/>
        <v>4.169999999999996</v>
      </c>
      <c r="B80" s="67">
        <f t="shared" si="11"/>
        <v>1.2150000000000083</v>
      </c>
      <c r="C80" s="69">
        <f t="shared" si="12"/>
        <v>4.46999999999999</v>
      </c>
      <c r="D80" s="70">
        <f t="shared" si="13"/>
        <v>1.2150000000000083</v>
      </c>
      <c r="E80" s="101">
        <f t="shared" si="12"/>
        <v>4.46999999999999</v>
      </c>
      <c r="F80" s="102">
        <f t="shared" si="13"/>
        <v>1.2150000000000083</v>
      </c>
      <c r="G80" s="103">
        <f t="shared" si="9"/>
        <v>5.169999999999996</v>
      </c>
      <c r="H80" s="104">
        <f t="shared" si="10"/>
        <v>1.2150000000000083</v>
      </c>
    </row>
    <row r="81" spans="1:8" ht="15">
      <c r="A81" s="66">
        <f t="shared" si="8"/>
        <v>4.179999999999996</v>
      </c>
      <c r="B81" s="67">
        <f t="shared" si="11"/>
        <v>1.2100000000000084</v>
      </c>
      <c r="C81" s="69">
        <f t="shared" si="12"/>
        <v>4.47999999999999</v>
      </c>
      <c r="D81" s="70">
        <f t="shared" si="13"/>
        <v>1.2100000000000084</v>
      </c>
      <c r="E81" s="101">
        <f t="shared" si="12"/>
        <v>4.47999999999999</v>
      </c>
      <c r="F81" s="102">
        <f t="shared" si="13"/>
        <v>1.2100000000000084</v>
      </c>
      <c r="G81" s="103">
        <f t="shared" si="9"/>
        <v>5.179999999999996</v>
      </c>
      <c r="H81" s="104">
        <f t="shared" si="10"/>
        <v>1.2100000000000084</v>
      </c>
    </row>
    <row r="82" spans="1:8" ht="15">
      <c r="A82" s="66">
        <f t="shared" si="8"/>
        <v>4.189999999999996</v>
      </c>
      <c r="B82" s="67">
        <f t="shared" si="11"/>
        <v>1.2050000000000085</v>
      </c>
      <c r="C82" s="69">
        <f t="shared" si="12"/>
        <v>4.4899999999999896</v>
      </c>
      <c r="D82" s="70">
        <f t="shared" si="13"/>
        <v>1.2050000000000085</v>
      </c>
      <c r="E82" s="101">
        <f t="shared" si="12"/>
        <v>4.4899999999999896</v>
      </c>
      <c r="F82" s="102">
        <f t="shared" si="13"/>
        <v>1.2050000000000085</v>
      </c>
      <c r="G82" s="103">
        <f t="shared" si="9"/>
        <v>5.189999999999996</v>
      </c>
      <c r="H82" s="104">
        <f t="shared" si="10"/>
        <v>1.2050000000000085</v>
      </c>
    </row>
    <row r="83" spans="1:8" ht="15">
      <c r="A83" s="66">
        <f t="shared" si="8"/>
        <v>4.199999999999996</v>
      </c>
      <c r="B83" s="67">
        <f t="shared" si="11"/>
        <v>1.2000000000000086</v>
      </c>
      <c r="C83" s="69">
        <f t="shared" si="12"/>
        <v>4.499999999999989</v>
      </c>
      <c r="D83" s="70">
        <f t="shared" si="13"/>
        <v>1.2000000000000086</v>
      </c>
      <c r="E83" s="101">
        <f t="shared" si="12"/>
        <v>4.499999999999989</v>
      </c>
      <c r="F83" s="102">
        <f t="shared" si="13"/>
        <v>1.2000000000000086</v>
      </c>
      <c r="G83" s="103">
        <f t="shared" si="9"/>
        <v>5.199999999999996</v>
      </c>
      <c r="H83" s="104">
        <f t="shared" si="10"/>
        <v>1.2000000000000086</v>
      </c>
    </row>
    <row r="84" spans="1:8" ht="15">
      <c r="A84" s="66">
        <f t="shared" si="8"/>
        <v>4.2099999999999955</v>
      </c>
      <c r="B84" s="67">
        <f t="shared" si="11"/>
        <v>1.1950000000000087</v>
      </c>
      <c r="C84" s="69">
        <f t="shared" si="12"/>
        <v>4.509999999999989</v>
      </c>
      <c r="D84" s="70">
        <f t="shared" si="13"/>
        <v>1.1950000000000087</v>
      </c>
      <c r="E84" s="101">
        <f t="shared" si="12"/>
        <v>4.509999999999989</v>
      </c>
      <c r="F84" s="102">
        <f t="shared" si="13"/>
        <v>1.1950000000000087</v>
      </c>
      <c r="G84" s="103">
        <f t="shared" si="9"/>
        <v>5.2099999999999955</v>
      </c>
      <c r="H84" s="104">
        <f t="shared" si="10"/>
        <v>1.1950000000000087</v>
      </c>
    </row>
    <row r="85" spans="1:8" ht="15">
      <c r="A85" s="66">
        <f t="shared" si="8"/>
        <v>4.219999999999995</v>
      </c>
      <c r="B85" s="67">
        <f t="shared" si="11"/>
        <v>1.1900000000000088</v>
      </c>
      <c r="C85" s="69">
        <f t="shared" si="12"/>
        <v>4.519999999999989</v>
      </c>
      <c r="D85" s="70">
        <f t="shared" si="13"/>
        <v>1.1900000000000088</v>
      </c>
      <c r="E85" s="101">
        <f t="shared" si="12"/>
        <v>4.519999999999989</v>
      </c>
      <c r="F85" s="102">
        <f t="shared" si="13"/>
        <v>1.1900000000000088</v>
      </c>
      <c r="G85" s="103">
        <f t="shared" si="9"/>
        <v>5.219999999999995</v>
      </c>
      <c r="H85" s="104">
        <f t="shared" si="10"/>
        <v>1.1900000000000088</v>
      </c>
    </row>
    <row r="86" spans="1:8" ht="15">
      <c r="A86" s="66">
        <f t="shared" si="8"/>
        <v>4.229999999999995</v>
      </c>
      <c r="B86" s="67">
        <f t="shared" si="11"/>
        <v>1.185000000000009</v>
      </c>
      <c r="C86" s="69">
        <f t="shared" si="12"/>
        <v>4.529999999999989</v>
      </c>
      <c r="D86" s="70">
        <f t="shared" si="13"/>
        <v>1.185000000000009</v>
      </c>
      <c r="E86" s="101">
        <f t="shared" si="12"/>
        <v>4.529999999999989</v>
      </c>
      <c r="F86" s="102">
        <f t="shared" si="13"/>
        <v>1.185000000000009</v>
      </c>
      <c r="G86" s="103">
        <f t="shared" si="9"/>
        <v>5.229999999999995</v>
      </c>
      <c r="H86" s="104">
        <f t="shared" si="10"/>
        <v>1.185000000000009</v>
      </c>
    </row>
    <row r="87" spans="1:8" ht="15">
      <c r="A87" s="66">
        <f t="shared" si="8"/>
        <v>4.239999999999995</v>
      </c>
      <c r="B87" s="67">
        <f t="shared" si="11"/>
        <v>1.180000000000009</v>
      </c>
      <c r="C87" s="69">
        <f t="shared" si="12"/>
        <v>4.5399999999999885</v>
      </c>
      <c r="D87" s="70">
        <f t="shared" si="13"/>
        <v>1.180000000000009</v>
      </c>
      <c r="E87" s="101">
        <f t="shared" si="12"/>
        <v>4.5399999999999885</v>
      </c>
      <c r="F87" s="102">
        <f t="shared" si="13"/>
        <v>1.180000000000009</v>
      </c>
      <c r="G87" s="103">
        <f t="shared" si="9"/>
        <v>5.239999999999995</v>
      </c>
      <c r="H87" s="104">
        <f t="shared" si="10"/>
        <v>1.180000000000009</v>
      </c>
    </row>
    <row r="88" spans="1:8" ht="15">
      <c r="A88" s="66">
        <f t="shared" si="8"/>
        <v>4.249999999999995</v>
      </c>
      <c r="B88" s="67">
        <f t="shared" si="11"/>
        <v>1.1750000000000091</v>
      </c>
      <c r="C88" s="69">
        <f t="shared" si="12"/>
        <v>4.549999999999988</v>
      </c>
      <c r="D88" s="70">
        <f t="shared" si="13"/>
        <v>1.1750000000000091</v>
      </c>
      <c r="E88" s="101">
        <f t="shared" si="12"/>
        <v>4.549999999999988</v>
      </c>
      <c r="F88" s="102">
        <f t="shared" si="13"/>
        <v>1.1750000000000091</v>
      </c>
      <c r="G88" s="103">
        <f t="shared" si="9"/>
        <v>5.249999999999995</v>
      </c>
      <c r="H88" s="104">
        <f t="shared" si="10"/>
        <v>1.1750000000000091</v>
      </c>
    </row>
    <row r="89" spans="1:8" ht="15">
      <c r="A89" s="66">
        <f t="shared" si="8"/>
        <v>4.2599999999999945</v>
      </c>
      <c r="B89" s="67">
        <f t="shared" si="11"/>
        <v>1.1700000000000093</v>
      </c>
      <c r="C89" s="69">
        <f t="shared" si="12"/>
        <v>4.559999999999988</v>
      </c>
      <c r="D89" s="70">
        <f t="shared" si="13"/>
        <v>1.1700000000000093</v>
      </c>
      <c r="E89" s="101">
        <f t="shared" si="12"/>
        <v>4.559999999999988</v>
      </c>
      <c r="F89" s="102">
        <f t="shared" si="13"/>
        <v>1.1700000000000093</v>
      </c>
      <c r="G89" s="103">
        <f t="shared" si="9"/>
        <v>5.2599999999999945</v>
      </c>
      <c r="H89" s="104">
        <f t="shared" si="10"/>
        <v>1.1700000000000093</v>
      </c>
    </row>
    <row r="90" spans="1:8" ht="15">
      <c r="A90" s="66">
        <f t="shared" si="8"/>
        <v>4.269999999999994</v>
      </c>
      <c r="B90" s="67">
        <f t="shared" si="11"/>
        <v>1.1650000000000094</v>
      </c>
      <c r="C90" s="69">
        <f t="shared" si="12"/>
        <v>4.569999999999988</v>
      </c>
      <c r="D90" s="70">
        <f t="shared" si="13"/>
        <v>1.1650000000000094</v>
      </c>
      <c r="E90" s="101">
        <f t="shared" si="12"/>
        <v>4.569999999999988</v>
      </c>
      <c r="F90" s="102">
        <f t="shared" si="13"/>
        <v>1.1650000000000094</v>
      </c>
      <c r="G90" s="103">
        <f t="shared" si="9"/>
        <v>5.269999999999994</v>
      </c>
      <c r="H90" s="104">
        <f t="shared" si="10"/>
        <v>1.1650000000000094</v>
      </c>
    </row>
    <row r="91" spans="1:8" ht="15">
      <c r="A91" s="66">
        <f t="shared" si="8"/>
        <v>4.279999999999994</v>
      </c>
      <c r="B91" s="67">
        <f t="shared" si="11"/>
        <v>1.1600000000000095</v>
      </c>
      <c r="C91" s="69">
        <f t="shared" si="12"/>
        <v>4.579999999999988</v>
      </c>
      <c r="D91" s="70">
        <f t="shared" si="13"/>
        <v>1.1600000000000095</v>
      </c>
      <c r="E91" s="101">
        <f t="shared" si="12"/>
        <v>4.579999999999988</v>
      </c>
      <c r="F91" s="102">
        <f t="shared" si="13"/>
        <v>1.1600000000000095</v>
      </c>
      <c r="G91" s="103">
        <f t="shared" si="9"/>
        <v>5.279999999999994</v>
      </c>
      <c r="H91" s="104">
        <f t="shared" si="10"/>
        <v>1.1600000000000095</v>
      </c>
    </row>
    <row r="92" spans="1:8" ht="15">
      <c r="A92" s="66">
        <f t="shared" si="8"/>
        <v>4.289999999999994</v>
      </c>
      <c r="B92" s="67">
        <f t="shared" si="11"/>
        <v>1.1550000000000096</v>
      </c>
      <c r="C92" s="69">
        <f t="shared" si="12"/>
        <v>4.589999999999987</v>
      </c>
      <c r="D92" s="70">
        <f t="shared" si="13"/>
        <v>1.1550000000000096</v>
      </c>
      <c r="E92" s="101">
        <f t="shared" si="12"/>
        <v>4.589999999999987</v>
      </c>
      <c r="F92" s="102">
        <f t="shared" si="13"/>
        <v>1.1550000000000096</v>
      </c>
      <c r="G92" s="103">
        <f t="shared" si="9"/>
        <v>5.289999999999994</v>
      </c>
      <c r="H92" s="104">
        <f t="shared" si="10"/>
        <v>1.1550000000000096</v>
      </c>
    </row>
    <row r="93" spans="1:8" ht="15">
      <c r="A93" s="66">
        <f t="shared" si="8"/>
        <v>4.299999999999994</v>
      </c>
      <c r="B93" s="67">
        <f t="shared" si="11"/>
        <v>1.1500000000000097</v>
      </c>
      <c r="C93" s="69">
        <v>5</v>
      </c>
      <c r="D93" s="70">
        <f t="shared" si="13"/>
        <v>1.1500000000000097</v>
      </c>
      <c r="E93" s="101">
        <v>5</v>
      </c>
      <c r="F93" s="102">
        <f t="shared" si="13"/>
        <v>1.1500000000000097</v>
      </c>
      <c r="G93" s="103">
        <v>5.3</v>
      </c>
      <c r="H93" s="104">
        <f t="shared" si="10"/>
        <v>1.1500000000000097</v>
      </c>
    </row>
    <row r="94" spans="1:8" ht="15">
      <c r="A94" s="66">
        <f t="shared" si="8"/>
        <v>4.309999999999993</v>
      </c>
      <c r="B94" s="67">
        <f t="shared" si="11"/>
        <v>1.1450000000000098</v>
      </c>
      <c r="C94" s="69">
        <f t="shared" si="12"/>
        <v>5.01</v>
      </c>
      <c r="D94" s="70">
        <f t="shared" si="13"/>
        <v>1.1450000000000098</v>
      </c>
      <c r="E94" s="101">
        <f t="shared" si="12"/>
        <v>5.01</v>
      </c>
      <c r="F94" s="102">
        <f t="shared" si="13"/>
        <v>1.1450000000000098</v>
      </c>
      <c r="G94" s="103">
        <f aca="true" t="shared" si="14" ref="G94:G122">G93+0.01</f>
        <v>5.31</v>
      </c>
      <c r="H94" s="104">
        <f t="shared" si="10"/>
        <v>1.1450000000000098</v>
      </c>
    </row>
    <row r="95" spans="1:8" ht="15">
      <c r="A95" s="66">
        <f t="shared" si="8"/>
        <v>4.319999999999993</v>
      </c>
      <c r="B95" s="67">
        <f t="shared" si="11"/>
        <v>1.14000000000001</v>
      </c>
      <c r="C95" s="69">
        <f t="shared" si="12"/>
        <v>5.02</v>
      </c>
      <c r="D95" s="70">
        <f t="shared" si="13"/>
        <v>1.14000000000001</v>
      </c>
      <c r="E95" s="101">
        <f t="shared" si="12"/>
        <v>5.02</v>
      </c>
      <c r="F95" s="102">
        <f t="shared" si="13"/>
        <v>1.14000000000001</v>
      </c>
      <c r="G95" s="103">
        <f t="shared" si="14"/>
        <v>5.319999999999999</v>
      </c>
      <c r="H95" s="104">
        <f t="shared" si="10"/>
        <v>1.14000000000001</v>
      </c>
    </row>
    <row r="96" spans="1:8" ht="15">
      <c r="A96" s="66">
        <f t="shared" si="8"/>
        <v>4.329999999999993</v>
      </c>
      <c r="B96" s="67">
        <f t="shared" si="11"/>
        <v>1.13500000000001</v>
      </c>
      <c r="C96" s="69">
        <f t="shared" si="12"/>
        <v>5.029999999999999</v>
      </c>
      <c r="D96" s="70">
        <f t="shared" si="13"/>
        <v>1.13500000000001</v>
      </c>
      <c r="E96" s="101">
        <f t="shared" si="12"/>
        <v>5.029999999999999</v>
      </c>
      <c r="F96" s="102">
        <f t="shared" si="13"/>
        <v>1.13500000000001</v>
      </c>
      <c r="G96" s="103">
        <f t="shared" si="14"/>
        <v>5.329999999999999</v>
      </c>
      <c r="H96" s="104">
        <f t="shared" si="10"/>
        <v>1.13500000000001</v>
      </c>
    </row>
    <row r="97" spans="1:8" ht="15">
      <c r="A97" s="66">
        <f t="shared" si="8"/>
        <v>4.339999999999993</v>
      </c>
      <c r="B97" s="67">
        <f t="shared" si="11"/>
        <v>1.13000000000001</v>
      </c>
      <c r="C97" s="69">
        <f t="shared" si="12"/>
        <v>5.039999999999999</v>
      </c>
      <c r="D97" s="70">
        <f t="shared" si="13"/>
        <v>1.13000000000001</v>
      </c>
      <c r="E97" s="101">
        <f t="shared" si="12"/>
        <v>5.039999999999999</v>
      </c>
      <c r="F97" s="102">
        <f t="shared" si="13"/>
        <v>1.13000000000001</v>
      </c>
      <c r="G97" s="103">
        <f t="shared" si="14"/>
        <v>5.339999999999999</v>
      </c>
      <c r="H97" s="104">
        <f t="shared" si="10"/>
        <v>1.13000000000001</v>
      </c>
    </row>
    <row r="98" spans="1:8" ht="15">
      <c r="A98" s="66">
        <f t="shared" si="8"/>
        <v>4.3499999999999925</v>
      </c>
      <c r="B98" s="67">
        <f t="shared" si="11"/>
        <v>1.1250000000000102</v>
      </c>
      <c r="C98" s="69">
        <f t="shared" si="12"/>
        <v>5.049999999999999</v>
      </c>
      <c r="D98" s="70">
        <f t="shared" si="13"/>
        <v>1.1250000000000102</v>
      </c>
      <c r="E98" s="101">
        <f t="shared" si="12"/>
        <v>5.049999999999999</v>
      </c>
      <c r="F98" s="102">
        <f t="shared" si="13"/>
        <v>1.1250000000000102</v>
      </c>
      <c r="G98" s="103">
        <f t="shared" si="14"/>
        <v>5.349999999999999</v>
      </c>
      <c r="H98" s="104">
        <f t="shared" si="10"/>
        <v>1.1250000000000102</v>
      </c>
    </row>
    <row r="99" spans="1:8" ht="15">
      <c r="A99" s="66">
        <f t="shared" si="8"/>
        <v>4.359999999999992</v>
      </c>
      <c r="B99" s="67">
        <f t="shared" si="11"/>
        <v>1.1200000000000103</v>
      </c>
      <c r="C99" s="69">
        <f t="shared" si="12"/>
        <v>5.059999999999999</v>
      </c>
      <c r="D99" s="70">
        <f t="shared" si="13"/>
        <v>1.1200000000000103</v>
      </c>
      <c r="E99" s="101">
        <f t="shared" si="12"/>
        <v>5.059999999999999</v>
      </c>
      <c r="F99" s="102">
        <f t="shared" si="13"/>
        <v>1.1200000000000103</v>
      </c>
      <c r="G99" s="103">
        <f t="shared" si="14"/>
        <v>5.3599999999999985</v>
      </c>
      <c r="H99" s="104">
        <f t="shared" si="10"/>
        <v>1.1200000000000103</v>
      </c>
    </row>
    <row r="100" spans="1:8" ht="15">
      <c r="A100" s="66">
        <f t="shared" si="8"/>
        <v>4.369999999999992</v>
      </c>
      <c r="B100" s="67">
        <f t="shared" si="11"/>
        <v>1.1150000000000104</v>
      </c>
      <c r="C100" s="69">
        <f t="shared" si="12"/>
        <v>5.0699999999999985</v>
      </c>
      <c r="D100" s="70">
        <f t="shared" si="13"/>
        <v>1.1150000000000104</v>
      </c>
      <c r="E100" s="101">
        <f t="shared" si="12"/>
        <v>5.0699999999999985</v>
      </c>
      <c r="F100" s="102">
        <f t="shared" si="13"/>
        <v>1.1150000000000104</v>
      </c>
      <c r="G100" s="103">
        <f t="shared" si="14"/>
        <v>5.369999999999998</v>
      </c>
      <c r="H100" s="104">
        <f aca="true" t="shared" si="15" ref="H100:H123">H99-0.005</f>
        <v>1.1150000000000104</v>
      </c>
    </row>
    <row r="101" spans="1:8" ht="15">
      <c r="A101" s="66">
        <f t="shared" si="8"/>
        <v>4.379999999999992</v>
      </c>
      <c r="B101" s="67">
        <f t="shared" si="11"/>
        <v>1.1100000000000105</v>
      </c>
      <c r="C101" s="69">
        <f t="shared" si="12"/>
        <v>5.079999999999998</v>
      </c>
      <c r="D101" s="70">
        <f t="shared" si="13"/>
        <v>1.1100000000000105</v>
      </c>
      <c r="E101" s="101">
        <f t="shared" si="12"/>
        <v>5.079999999999998</v>
      </c>
      <c r="F101" s="102">
        <f t="shared" si="13"/>
        <v>1.1100000000000105</v>
      </c>
      <c r="G101" s="103">
        <f t="shared" si="14"/>
        <v>5.379999999999998</v>
      </c>
      <c r="H101" s="104">
        <f t="shared" si="15"/>
        <v>1.1100000000000105</v>
      </c>
    </row>
    <row r="102" spans="1:8" ht="15">
      <c r="A102" s="66">
        <f t="shared" si="8"/>
        <v>4.389999999999992</v>
      </c>
      <c r="B102" s="67">
        <f t="shared" si="11"/>
        <v>1.1050000000000106</v>
      </c>
      <c r="C102" s="69">
        <f t="shared" si="12"/>
        <v>5.089999999999998</v>
      </c>
      <c r="D102" s="70">
        <f t="shared" si="13"/>
        <v>1.1050000000000106</v>
      </c>
      <c r="E102" s="101">
        <f t="shared" si="12"/>
        <v>5.089999999999998</v>
      </c>
      <c r="F102" s="102">
        <f t="shared" si="13"/>
        <v>1.1050000000000106</v>
      </c>
      <c r="G102" s="103">
        <f t="shared" si="14"/>
        <v>5.389999999999998</v>
      </c>
      <c r="H102" s="104">
        <f t="shared" si="15"/>
        <v>1.1050000000000106</v>
      </c>
    </row>
    <row r="103" spans="1:8" ht="15">
      <c r="A103" s="66">
        <f t="shared" si="8"/>
        <v>4.3999999999999915</v>
      </c>
      <c r="B103" s="67">
        <f t="shared" si="11"/>
        <v>1.1000000000000107</v>
      </c>
      <c r="C103" s="69">
        <f t="shared" si="12"/>
        <v>5.099999999999998</v>
      </c>
      <c r="D103" s="70">
        <f t="shared" si="13"/>
        <v>1.1000000000000107</v>
      </c>
      <c r="E103" s="101">
        <f t="shared" si="12"/>
        <v>5.099999999999998</v>
      </c>
      <c r="F103" s="102">
        <f t="shared" si="13"/>
        <v>1.1000000000000107</v>
      </c>
      <c r="G103" s="103">
        <f t="shared" si="14"/>
        <v>5.399999999999998</v>
      </c>
      <c r="H103" s="104">
        <f t="shared" si="15"/>
        <v>1.1000000000000107</v>
      </c>
    </row>
    <row r="104" spans="1:8" ht="15">
      <c r="A104" s="66">
        <f t="shared" si="8"/>
        <v>4.409999999999991</v>
      </c>
      <c r="B104" s="67">
        <f t="shared" si="11"/>
        <v>1.0950000000000109</v>
      </c>
      <c r="C104" s="69">
        <f t="shared" si="12"/>
        <v>5.109999999999998</v>
      </c>
      <c r="D104" s="70">
        <f t="shared" si="13"/>
        <v>1.0950000000000109</v>
      </c>
      <c r="E104" s="101">
        <f t="shared" si="12"/>
        <v>5.109999999999998</v>
      </c>
      <c r="F104" s="102">
        <f t="shared" si="13"/>
        <v>1.0950000000000109</v>
      </c>
      <c r="G104" s="103">
        <f t="shared" si="14"/>
        <v>5.4099999999999975</v>
      </c>
      <c r="H104" s="104">
        <f t="shared" si="15"/>
        <v>1.0950000000000109</v>
      </c>
    </row>
    <row r="105" spans="1:8" ht="15">
      <c r="A105" s="66">
        <f t="shared" si="8"/>
        <v>4.419999999999991</v>
      </c>
      <c r="B105" s="67">
        <f t="shared" si="11"/>
        <v>1.090000000000011</v>
      </c>
      <c r="C105" s="69">
        <f t="shared" si="12"/>
        <v>5.119999999999997</v>
      </c>
      <c r="D105" s="70">
        <f t="shared" si="13"/>
        <v>1.090000000000011</v>
      </c>
      <c r="E105" s="101">
        <f t="shared" si="12"/>
        <v>5.119999999999997</v>
      </c>
      <c r="F105" s="102">
        <f t="shared" si="13"/>
        <v>1.090000000000011</v>
      </c>
      <c r="G105" s="103">
        <f t="shared" si="14"/>
        <v>5.419999999999997</v>
      </c>
      <c r="H105" s="104">
        <f t="shared" si="15"/>
        <v>1.090000000000011</v>
      </c>
    </row>
    <row r="106" spans="1:8" ht="15">
      <c r="A106" s="66">
        <f t="shared" si="8"/>
        <v>4.429999999999991</v>
      </c>
      <c r="B106" s="67">
        <f t="shared" si="11"/>
        <v>1.085000000000011</v>
      </c>
      <c r="C106" s="69">
        <f t="shared" si="12"/>
        <v>5.129999999999997</v>
      </c>
      <c r="D106" s="70">
        <f t="shared" si="13"/>
        <v>1.085000000000011</v>
      </c>
      <c r="E106" s="101">
        <f t="shared" si="12"/>
        <v>5.129999999999997</v>
      </c>
      <c r="F106" s="102">
        <f t="shared" si="13"/>
        <v>1.085000000000011</v>
      </c>
      <c r="G106" s="103">
        <f t="shared" si="14"/>
        <v>5.429999999999997</v>
      </c>
      <c r="H106" s="104">
        <f t="shared" si="15"/>
        <v>1.085000000000011</v>
      </c>
    </row>
    <row r="107" spans="1:8" ht="15">
      <c r="A107" s="66">
        <f t="shared" si="8"/>
        <v>4.439999999999991</v>
      </c>
      <c r="B107" s="67">
        <f t="shared" si="11"/>
        <v>1.0800000000000112</v>
      </c>
      <c r="C107" s="69">
        <f t="shared" si="12"/>
        <v>5.139999999999997</v>
      </c>
      <c r="D107" s="70">
        <f t="shared" si="13"/>
        <v>1.0800000000000112</v>
      </c>
      <c r="E107" s="101">
        <f t="shared" si="12"/>
        <v>5.139999999999997</v>
      </c>
      <c r="F107" s="102">
        <f t="shared" si="13"/>
        <v>1.0800000000000112</v>
      </c>
      <c r="G107" s="103">
        <f t="shared" si="14"/>
        <v>5.439999999999997</v>
      </c>
      <c r="H107" s="104">
        <f t="shared" si="15"/>
        <v>1.0800000000000112</v>
      </c>
    </row>
    <row r="108" spans="1:8" ht="15">
      <c r="A108" s="66">
        <f t="shared" si="8"/>
        <v>4.44999999999999</v>
      </c>
      <c r="B108" s="67">
        <f t="shared" si="11"/>
        <v>1.0750000000000113</v>
      </c>
      <c r="C108" s="69">
        <f t="shared" si="12"/>
        <v>5.149999999999997</v>
      </c>
      <c r="D108" s="70">
        <f t="shared" si="13"/>
        <v>1.0750000000000113</v>
      </c>
      <c r="E108" s="101">
        <f t="shared" si="12"/>
        <v>5.149999999999997</v>
      </c>
      <c r="F108" s="102">
        <f t="shared" si="13"/>
        <v>1.0750000000000113</v>
      </c>
      <c r="G108" s="103">
        <f t="shared" si="14"/>
        <v>5.449999999999997</v>
      </c>
      <c r="H108" s="104">
        <f t="shared" si="15"/>
        <v>1.0750000000000113</v>
      </c>
    </row>
    <row r="109" spans="1:8" ht="15">
      <c r="A109" s="66">
        <f t="shared" si="8"/>
        <v>4.45999999999999</v>
      </c>
      <c r="B109" s="67">
        <f t="shared" si="11"/>
        <v>1.0700000000000114</v>
      </c>
      <c r="C109" s="69">
        <f t="shared" si="12"/>
        <v>5.159999999999997</v>
      </c>
      <c r="D109" s="70">
        <f t="shared" si="13"/>
        <v>1.0700000000000114</v>
      </c>
      <c r="E109" s="101">
        <f t="shared" si="12"/>
        <v>5.159999999999997</v>
      </c>
      <c r="F109" s="102">
        <f t="shared" si="13"/>
        <v>1.0700000000000114</v>
      </c>
      <c r="G109" s="103">
        <f t="shared" si="14"/>
        <v>5.459999999999996</v>
      </c>
      <c r="H109" s="104">
        <f t="shared" si="15"/>
        <v>1.0700000000000114</v>
      </c>
    </row>
    <row r="110" spans="1:8" ht="15">
      <c r="A110" s="66">
        <f t="shared" si="8"/>
        <v>4.46999999999999</v>
      </c>
      <c r="B110" s="67">
        <f t="shared" si="11"/>
        <v>1.0650000000000115</v>
      </c>
      <c r="C110" s="69">
        <f t="shared" si="12"/>
        <v>5.169999999999996</v>
      </c>
      <c r="D110" s="70">
        <f t="shared" si="13"/>
        <v>1.0650000000000115</v>
      </c>
      <c r="E110" s="101">
        <f t="shared" si="12"/>
        <v>5.169999999999996</v>
      </c>
      <c r="F110" s="102">
        <f t="shared" si="13"/>
        <v>1.0650000000000115</v>
      </c>
      <c r="G110" s="103">
        <f t="shared" si="14"/>
        <v>5.469999999999996</v>
      </c>
      <c r="H110" s="104">
        <f t="shared" si="15"/>
        <v>1.0650000000000115</v>
      </c>
    </row>
    <row r="111" spans="1:8" ht="15">
      <c r="A111" s="66">
        <f t="shared" si="8"/>
        <v>4.47999999999999</v>
      </c>
      <c r="B111" s="67">
        <f t="shared" si="11"/>
        <v>1.0600000000000116</v>
      </c>
      <c r="C111" s="69">
        <f t="shared" si="12"/>
        <v>5.179999999999996</v>
      </c>
      <c r="D111" s="70">
        <f t="shared" si="13"/>
        <v>1.0600000000000116</v>
      </c>
      <c r="E111" s="101">
        <f t="shared" si="12"/>
        <v>5.179999999999996</v>
      </c>
      <c r="F111" s="102">
        <f t="shared" si="13"/>
        <v>1.0600000000000116</v>
      </c>
      <c r="G111" s="103">
        <f t="shared" si="14"/>
        <v>5.479999999999996</v>
      </c>
      <c r="H111" s="104">
        <f t="shared" si="15"/>
        <v>1.0600000000000116</v>
      </c>
    </row>
    <row r="112" spans="1:8" ht="15">
      <c r="A112" s="66">
        <f t="shared" si="8"/>
        <v>4.4899999999999896</v>
      </c>
      <c r="B112" s="67">
        <f t="shared" si="11"/>
        <v>1.0550000000000117</v>
      </c>
      <c r="C112" s="69">
        <f t="shared" si="12"/>
        <v>5.189999999999996</v>
      </c>
      <c r="D112" s="70">
        <f t="shared" si="13"/>
        <v>1.0550000000000117</v>
      </c>
      <c r="E112" s="101">
        <f t="shared" si="12"/>
        <v>5.189999999999996</v>
      </c>
      <c r="F112" s="102">
        <f t="shared" si="13"/>
        <v>1.0550000000000117</v>
      </c>
      <c r="G112" s="103">
        <f t="shared" si="14"/>
        <v>5.489999999999996</v>
      </c>
      <c r="H112" s="104">
        <f t="shared" si="15"/>
        <v>1.0550000000000117</v>
      </c>
    </row>
    <row r="113" spans="1:8" ht="15">
      <c r="A113" s="66">
        <f t="shared" si="8"/>
        <v>4.499999999999989</v>
      </c>
      <c r="B113" s="67">
        <f t="shared" si="11"/>
        <v>1.0500000000000118</v>
      </c>
      <c r="C113" s="69">
        <f t="shared" si="12"/>
        <v>5.199999999999996</v>
      </c>
      <c r="D113" s="70">
        <f t="shared" si="13"/>
        <v>1.0500000000000118</v>
      </c>
      <c r="E113" s="101">
        <f t="shared" si="12"/>
        <v>5.199999999999996</v>
      </c>
      <c r="F113" s="102">
        <f t="shared" si="13"/>
        <v>1.0500000000000118</v>
      </c>
      <c r="G113" s="103">
        <f t="shared" si="14"/>
        <v>5.499999999999996</v>
      </c>
      <c r="H113" s="104">
        <f t="shared" si="15"/>
        <v>1.0500000000000118</v>
      </c>
    </row>
    <row r="114" spans="1:10" ht="15">
      <c r="A114" s="66">
        <f t="shared" si="8"/>
        <v>4.509999999999989</v>
      </c>
      <c r="B114" s="67">
        <f t="shared" si="11"/>
        <v>1.045000000000012</v>
      </c>
      <c r="C114" s="69">
        <f t="shared" si="12"/>
        <v>5.2099999999999955</v>
      </c>
      <c r="D114" s="70">
        <f t="shared" si="13"/>
        <v>1.045000000000012</v>
      </c>
      <c r="E114" s="101">
        <f t="shared" si="12"/>
        <v>5.2099999999999955</v>
      </c>
      <c r="F114" s="102">
        <f t="shared" si="13"/>
        <v>1.045000000000012</v>
      </c>
      <c r="G114" s="103">
        <f t="shared" si="14"/>
        <v>5.509999999999995</v>
      </c>
      <c r="H114" s="104">
        <f t="shared" si="15"/>
        <v>1.045000000000012</v>
      </c>
      <c r="J114" s="174"/>
    </row>
    <row r="115" spans="1:8" ht="15">
      <c r="A115" s="66">
        <f t="shared" si="8"/>
        <v>4.519999999999989</v>
      </c>
      <c r="B115" s="67">
        <f t="shared" si="11"/>
        <v>1.040000000000012</v>
      </c>
      <c r="C115" s="69">
        <f t="shared" si="12"/>
        <v>5.219999999999995</v>
      </c>
      <c r="D115" s="70">
        <f t="shared" si="13"/>
        <v>1.040000000000012</v>
      </c>
      <c r="E115" s="101">
        <f t="shared" si="12"/>
        <v>5.219999999999995</v>
      </c>
      <c r="F115" s="102">
        <f t="shared" si="13"/>
        <v>1.040000000000012</v>
      </c>
      <c r="G115" s="103">
        <f t="shared" si="14"/>
        <v>5.519999999999995</v>
      </c>
      <c r="H115" s="104">
        <f t="shared" si="15"/>
        <v>1.040000000000012</v>
      </c>
    </row>
    <row r="116" spans="1:8" ht="15">
      <c r="A116" s="66">
        <f t="shared" si="8"/>
        <v>4.529999999999989</v>
      </c>
      <c r="B116" s="67">
        <f t="shared" si="11"/>
        <v>1.0350000000000121</v>
      </c>
      <c r="C116" s="69">
        <f t="shared" si="12"/>
        <v>5.229999999999995</v>
      </c>
      <c r="D116" s="70">
        <f t="shared" si="13"/>
        <v>1.0350000000000121</v>
      </c>
      <c r="E116" s="101">
        <f t="shared" si="12"/>
        <v>5.229999999999995</v>
      </c>
      <c r="F116" s="102">
        <f t="shared" si="13"/>
        <v>1.0350000000000121</v>
      </c>
      <c r="G116" s="103">
        <f t="shared" si="14"/>
        <v>5.529999999999995</v>
      </c>
      <c r="H116" s="104">
        <f t="shared" si="15"/>
        <v>1.0350000000000121</v>
      </c>
    </row>
    <row r="117" spans="1:8" ht="15">
      <c r="A117" s="66">
        <f t="shared" si="8"/>
        <v>4.5399999999999885</v>
      </c>
      <c r="B117" s="67">
        <f t="shared" si="11"/>
        <v>1.0300000000000122</v>
      </c>
      <c r="C117" s="69">
        <f t="shared" si="12"/>
        <v>5.239999999999995</v>
      </c>
      <c r="D117" s="70">
        <f t="shared" si="13"/>
        <v>1.0300000000000122</v>
      </c>
      <c r="E117" s="101">
        <f t="shared" si="12"/>
        <v>5.239999999999995</v>
      </c>
      <c r="F117" s="102">
        <f t="shared" si="13"/>
        <v>1.0300000000000122</v>
      </c>
      <c r="G117" s="103">
        <f t="shared" si="14"/>
        <v>5.539999999999995</v>
      </c>
      <c r="H117" s="104">
        <f t="shared" si="15"/>
        <v>1.0300000000000122</v>
      </c>
    </row>
    <row r="118" spans="1:8" ht="15">
      <c r="A118" s="66">
        <f t="shared" si="8"/>
        <v>4.549999999999988</v>
      </c>
      <c r="B118" s="67">
        <f t="shared" si="11"/>
        <v>1.0250000000000123</v>
      </c>
      <c r="C118" s="69">
        <f t="shared" si="12"/>
        <v>5.249999999999995</v>
      </c>
      <c r="D118" s="70">
        <f t="shared" si="13"/>
        <v>1.0250000000000123</v>
      </c>
      <c r="E118" s="101">
        <f t="shared" si="12"/>
        <v>5.249999999999995</v>
      </c>
      <c r="F118" s="102">
        <f t="shared" si="13"/>
        <v>1.0250000000000123</v>
      </c>
      <c r="G118" s="103">
        <f t="shared" si="14"/>
        <v>5.5499999999999945</v>
      </c>
      <c r="H118" s="104">
        <f t="shared" si="15"/>
        <v>1.0250000000000123</v>
      </c>
    </row>
    <row r="119" spans="1:14" ht="15">
      <c r="A119" s="66">
        <f t="shared" si="8"/>
        <v>4.559999999999988</v>
      </c>
      <c r="B119" s="67">
        <f t="shared" si="11"/>
        <v>1.0200000000000125</v>
      </c>
      <c r="C119" s="69">
        <f t="shared" si="12"/>
        <v>5.2599999999999945</v>
      </c>
      <c r="D119" s="70">
        <f t="shared" si="13"/>
        <v>1.0200000000000125</v>
      </c>
      <c r="E119" s="101">
        <f t="shared" si="12"/>
        <v>5.2599999999999945</v>
      </c>
      <c r="F119" s="102">
        <f t="shared" si="13"/>
        <v>1.0200000000000125</v>
      </c>
      <c r="G119" s="103">
        <f t="shared" si="14"/>
        <v>5.559999999999994</v>
      </c>
      <c r="H119" s="104">
        <f t="shared" si="15"/>
        <v>1.0200000000000125</v>
      </c>
      <c r="N119" s="82"/>
    </row>
    <row r="120" spans="1:8" ht="15">
      <c r="A120" s="66">
        <f t="shared" si="8"/>
        <v>4.569999999999988</v>
      </c>
      <c r="B120" s="67">
        <f t="shared" si="11"/>
        <v>1.0150000000000126</v>
      </c>
      <c r="C120" s="69">
        <f t="shared" si="12"/>
        <v>5.269999999999994</v>
      </c>
      <c r="D120" s="70">
        <f t="shared" si="13"/>
        <v>1.0150000000000126</v>
      </c>
      <c r="E120" s="101">
        <f t="shared" si="12"/>
        <v>5.269999999999994</v>
      </c>
      <c r="F120" s="102">
        <f t="shared" si="13"/>
        <v>1.0150000000000126</v>
      </c>
      <c r="G120" s="103">
        <f t="shared" si="14"/>
        <v>5.569999999999994</v>
      </c>
      <c r="H120" s="104">
        <f t="shared" si="15"/>
        <v>1.0150000000000126</v>
      </c>
    </row>
    <row r="121" spans="1:8" ht="15">
      <c r="A121" s="66">
        <f t="shared" si="8"/>
        <v>4.579999999999988</v>
      </c>
      <c r="B121" s="67">
        <f t="shared" si="11"/>
        <v>1.0100000000000127</v>
      </c>
      <c r="C121" s="69">
        <f t="shared" si="12"/>
        <v>5.279999999999994</v>
      </c>
      <c r="D121" s="70">
        <f t="shared" si="13"/>
        <v>1.0100000000000127</v>
      </c>
      <c r="E121" s="101">
        <f t="shared" si="12"/>
        <v>5.279999999999994</v>
      </c>
      <c r="F121" s="102">
        <f t="shared" si="13"/>
        <v>1.0100000000000127</v>
      </c>
      <c r="G121" s="103">
        <f t="shared" si="14"/>
        <v>5.579999999999994</v>
      </c>
      <c r="H121" s="104">
        <f t="shared" si="15"/>
        <v>1.0100000000000127</v>
      </c>
    </row>
    <row r="122" spans="1:8" ht="15">
      <c r="A122" s="66">
        <f t="shared" si="8"/>
        <v>4.589999999999987</v>
      </c>
      <c r="B122" s="67">
        <f t="shared" si="11"/>
        <v>1.0050000000000128</v>
      </c>
      <c r="C122" s="69">
        <f t="shared" si="12"/>
        <v>5.289999999999994</v>
      </c>
      <c r="D122" s="70">
        <f t="shared" si="13"/>
        <v>1.0050000000000128</v>
      </c>
      <c r="E122" s="101">
        <f t="shared" si="12"/>
        <v>5.289999999999994</v>
      </c>
      <c r="F122" s="102">
        <f t="shared" si="13"/>
        <v>1.0050000000000128</v>
      </c>
      <c r="G122" s="103">
        <f t="shared" si="14"/>
        <v>5.589999999999994</v>
      </c>
      <c r="H122" s="104">
        <f t="shared" si="15"/>
        <v>1.0050000000000128</v>
      </c>
    </row>
    <row r="123" spans="1:8" ht="15">
      <c r="A123" s="66">
        <v>5</v>
      </c>
      <c r="B123" s="68">
        <v>1</v>
      </c>
      <c r="C123" s="69">
        <f t="shared" si="12"/>
        <v>5.299999999999994</v>
      </c>
      <c r="D123" s="70">
        <f t="shared" si="13"/>
        <v>1.0000000000000129</v>
      </c>
      <c r="E123" s="101">
        <f t="shared" si="12"/>
        <v>5.299999999999994</v>
      </c>
      <c r="F123" s="102">
        <f t="shared" si="13"/>
        <v>1.0000000000000129</v>
      </c>
      <c r="G123" s="103">
        <v>6</v>
      </c>
      <c r="H123" s="104">
        <f t="shared" si="15"/>
        <v>1.0000000000000129</v>
      </c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</sheetData>
  <sheetProtection/>
  <mergeCells count="4">
    <mergeCell ref="A1:B1"/>
    <mergeCell ref="C1:D1"/>
    <mergeCell ref="E1:F1"/>
    <mergeCell ref="G1:H1"/>
  </mergeCells>
  <printOptions/>
  <pageMargins left="0.75" right="0.75" top="1" bottom="1" header="0.5" footer="0.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0" customWidth="1"/>
    <col min="3" max="3" width="49.421875" style="0" customWidth="1"/>
  </cols>
  <sheetData>
    <row r="1" ht="30" customHeight="1" thickBot="1"/>
    <row r="2" spans="2:8" ht="30" customHeight="1" thickBot="1">
      <c r="B2" s="90" t="s">
        <v>94</v>
      </c>
      <c r="C2" s="91" t="s">
        <v>91</v>
      </c>
      <c r="D2" s="6"/>
      <c r="E2" s="6"/>
      <c r="F2" s="6"/>
      <c r="G2" s="6"/>
      <c r="H2" s="6"/>
    </row>
    <row r="3" spans="2:3" ht="30" customHeight="1" thickBot="1">
      <c r="B3" s="90" t="s">
        <v>96</v>
      </c>
      <c r="C3" s="91" t="s">
        <v>97</v>
      </c>
    </row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3" sqref="G3"/>
    </sheetView>
  </sheetViews>
  <sheetFormatPr defaultColWidth="9.140625" defaultRowHeight="12.75"/>
  <cols>
    <col min="5" max="6" width="19.421875" style="0" customWidth="1"/>
    <col min="7" max="7" width="18.00390625" style="0" customWidth="1"/>
  </cols>
  <sheetData>
    <row r="1" ht="22.5" customHeight="1">
      <c r="D1" s="199" t="s">
        <v>230</v>
      </c>
    </row>
    <row r="2" spans="1:6" ht="15">
      <c r="A2" s="200" t="s">
        <v>2</v>
      </c>
      <c r="B2" s="201" t="s">
        <v>76</v>
      </c>
      <c r="C2" s="202"/>
      <c r="D2" s="202"/>
      <c r="E2" s="203">
        <v>1</v>
      </c>
      <c r="F2" s="204"/>
    </row>
    <row r="3" spans="1:7" ht="15">
      <c r="A3" s="200" t="s">
        <v>3</v>
      </c>
      <c r="B3" s="201" t="s">
        <v>67</v>
      </c>
      <c r="C3" s="202"/>
      <c r="D3" s="202"/>
      <c r="E3" s="203">
        <v>1</v>
      </c>
      <c r="F3" s="204" t="s">
        <v>235</v>
      </c>
      <c r="G3" s="198"/>
    </row>
    <row r="4" spans="1:6" ht="15">
      <c r="A4" s="200" t="s">
        <v>4</v>
      </c>
      <c r="B4" s="201" t="s">
        <v>62</v>
      </c>
      <c r="C4" s="202"/>
      <c r="D4" s="202"/>
      <c r="E4" s="203">
        <v>1</v>
      </c>
      <c r="F4" s="204"/>
    </row>
    <row r="5" spans="1:6" ht="15">
      <c r="A5" s="200" t="s">
        <v>5</v>
      </c>
      <c r="B5" s="201" t="s">
        <v>105</v>
      </c>
      <c r="C5" s="202"/>
      <c r="D5" s="202"/>
      <c r="E5" s="203"/>
      <c r="F5" s="204"/>
    </row>
    <row r="6" spans="1:6" ht="15">
      <c r="A6" s="200" t="s">
        <v>6</v>
      </c>
      <c r="B6" s="201" t="s">
        <v>60</v>
      </c>
      <c r="C6" s="202"/>
      <c r="D6" s="202"/>
      <c r="E6" s="205" t="s">
        <v>234</v>
      </c>
      <c r="F6" s="204"/>
    </row>
    <row r="7" spans="1:6" ht="15">
      <c r="A7" s="200" t="s">
        <v>7</v>
      </c>
      <c r="B7" s="201" t="s">
        <v>64</v>
      </c>
      <c r="C7" s="202"/>
      <c r="D7" s="202"/>
      <c r="E7" s="205" t="s">
        <v>233</v>
      </c>
      <c r="F7" s="204"/>
    </row>
    <row r="8" spans="1:6" ht="15">
      <c r="A8" s="206" t="s">
        <v>8</v>
      </c>
      <c r="B8" s="201" t="s">
        <v>65</v>
      </c>
      <c r="C8" s="202"/>
      <c r="D8" s="202"/>
      <c r="E8" s="203">
        <v>1</v>
      </c>
      <c r="F8" s="204"/>
    </row>
    <row r="9" spans="1:6" ht="15">
      <c r="A9" s="200" t="s">
        <v>9</v>
      </c>
      <c r="B9" s="207" t="s">
        <v>63</v>
      </c>
      <c r="C9" s="208"/>
      <c r="D9" s="202"/>
      <c r="E9" s="203">
        <v>1</v>
      </c>
      <c r="F9" s="204"/>
    </row>
    <row r="10" spans="1:6" ht="15">
      <c r="A10" s="200" t="s">
        <v>10</v>
      </c>
      <c r="B10" s="201" t="s">
        <v>66</v>
      </c>
      <c r="C10" s="202"/>
      <c r="D10" s="202"/>
      <c r="E10" s="205" t="s">
        <v>234</v>
      </c>
      <c r="F10" s="204"/>
    </row>
    <row r="11" spans="1:6" ht="15">
      <c r="A11" s="200" t="s">
        <v>11</v>
      </c>
      <c r="B11" s="201" t="s">
        <v>128</v>
      </c>
      <c r="C11" s="202"/>
      <c r="D11" s="202"/>
      <c r="E11" s="203"/>
      <c r="F11" s="204"/>
    </row>
    <row r="12" spans="1:6" ht="15">
      <c r="A12" s="200" t="s">
        <v>12</v>
      </c>
      <c r="B12" s="201" t="s">
        <v>59</v>
      </c>
      <c r="C12" s="202"/>
      <c r="D12" s="202"/>
      <c r="E12" s="205" t="s">
        <v>234</v>
      </c>
      <c r="F12" s="204"/>
    </row>
    <row r="13" spans="1:6" ht="15">
      <c r="A13" s="200" t="s">
        <v>13</v>
      </c>
      <c r="B13" s="201" t="s">
        <v>70</v>
      </c>
      <c r="C13" s="202"/>
      <c r="D13" s="202"/>
      <c r="E13" s="203"/>
      <c r="F13" s="204"/>
    </row>
    <row r="14" spans="1:6" ht="15">
      <c r="A14" s="200" t="s">
        <v>14</v>
      </c>
      <c r="B14" s="201" t="s">
        <v>68</v>
      </c>
      <c r="C14" s="202"/>
      <c r="D14" s="202"/>
      <c r="E14" s="205" t="s">
        <v>234</v>
      </c>
      <c r="F14" s="204"/>
    </row>
    <row r="15" spans="1:6" ht="15">
      <c r="A15" s="200" t="s">
        <v>15</v>
      </c>
      <c r="B15" s="201" t="s">
        <v>61</v>
      </c>
      <c r="C15" s="202"/>
      <c r="D15" s="202"/>
      <c r="E15" s="205" t="s">
        <v>231</v>
      </c>
      <c r="F15" s="204"/>
    </row>
    <row r="16" spans="1:6" ht="15">
      <c r="A16" s="200" t="s">
        <v>16</v>
      </c>
      <c r="B16" s="201" t="s">
        <v>78</v>
      </c>
      <c r="C16" s="202"/>
      <c r="D16" s="202"/>
      <c r="E16" s="203">
        <v>1</v>
      </c>
      <c r="F16" s="204" t="s">
        <v>236</v>
      </c>
    </row>
    <row r="17" spans="1:6" ht="15">
      <c r="A17" s="200" t="s">
        <v>17</v>
      </c>
      <c r="B17" s="201" t="s">
        <v>69</v>
      </c>
      <c r="C17" s="202"/>
      <c r="D17" s="202"/>
      <c r="E17" s="205" t="s">
        <v>232</v>
      </c>
      <c r="F17" s="204"/>
    </row>
    <row r="18" spans="1:6" ht="15">
      <c r="A18" s="200" t="s">
        <v>18</v>
      </c>
      <c r="B18" s="201" t="s">
        <v>77</v>
      </c>
      <c r="C18" s="202"/>
      <c r="D18" s="202"/>
      <c r="E18" s="205" t="s">
        <v>232</v>
      </c>
      <c r="F18" s="204"/>
    </row>
    <row r="19" spans="1:6" ht="15">
      <c r="A19" s="200" t="s">
        <v>19</v>
      </c>
      <c r="B19" s="201" t="s">
        <v>146</v>
      </c>
      <c r="C19" s="202"/>
      <c r="D19" s="202"/>
      <c r="E19" s="203"/>
      <c r="F19" s="204"/>
    </row>
    <row r="20" spans="1:6" ht="15">
      <c r="A20" s="200" t="s">
        <v>20</v>
      </c>
      <c r="B20" s="201" t="s">
        <v>178</v>
      </c>
      <c r="C20" s="202"/>
      <c r="D20" s="202"/>
      <c r="E20" s="205" t="s">
        <v>232</v>
      </c>
      <c r="F20" s="204"/>
    </row>
    <row r="21" spans="1:6" ht="15">
      <c r="A21" s="200" t="s">
        <v>21</v>
      </c>
      <c r="B21" s="201" t="s">
        <v>118</v>
      </c>
      <c r="C21" s="202"/>
      <c r="D21" s="202"/>
      <c r="E21" s="203"/>
      <c r="F21" s="204"/>
    </row>
    <row r="22" spans="1:6" ht="15">
      <c r="A22" s="200" t="s">
        <v>22</v>
      </c>
      <c r="B22" s="201" t="s">
        <v>71</v>
      </c>
      <c r="C22" s="202"/>
      <c r="D22" s="202"/>
      <c r="E22" s="205" t="s">
        <v>232</v>
      </c>
      <c r="F22" s="204"/>
    </row>
    <row r="23" spans="1:6" ht="15">
      <c r="A23" s="200" t="s">
        <v>23</v>
      </c>
      <c r="B23" s="201" t="s">
        <v>144</v>
      </c>
      <c r="C23" s="202"/>
      <c r="D23" s="202"/>
      <c r="E23" s="203"/>
      <c r="F23" s="204"/>
    </row>
    <row r="24" spans="1:6" ht="15">
      <c r="A24" s="200" t="s">
        <v>24</v>
      </c>
      <c r="B24" s="201" t="s">
        <v>153</v>
      </c>
      <c r="C24" s="202"/>
      <c r="D24" s="202"/>
      <c r="E24" s="203"/>
      <c r="F24" s="204"/>
    </row>
    <row r="25" spans="1:6" ht="15">
      <c r="A25" s="200" t="s">
        <v>25</v>
      </c>
      <c r="B25" s="201" t="s">
        <v>129</v>
      </c>
      <c r="C25" s="202"/>
      <c r="D25" s="202"/>
      <c r="E25" s="203"/>
      <c r="F25" s="204"/>
    </row>
    <row r="26" spans="1:6" ht="15">
      <c r="A26" s="200" t="s">
        <v>26</v>
      </c>
      <c r="B26" s="201" t="s">
        <v>119</v>
      </c>
      <c r="C26" s="202"/>
      <c r="D26" s="202"/>
      <c r="E26" s="203"/>
      <c r="F26" s="204"/>
    </row>
    <row r="27" spans="1:6" ht="15">
      <c r="A27" s="200" t="s">
        <v>99</v>
      </c>
      <c r="B27" s="201" t="s">
        <v>90</v>
      </c>
      <c r="C27" s="202"/>
      <c r="D27" s="202"/>
      <c r="E27" s="203"/>
      <c r="F27" s="204"/>
    </row>
    <row r="28" spans="1:6" ht="15">
      <c r="A28" s="200" t="s">
        <v>100</v>
      </c>
      <c r="B28" s="201" t="s">
        <v>104</v>
      </c>
      <c r="C28" s="202"/>
      <c r="D28" s="202"/>
      <c r="E28" s="203"/>
      <c r="F28" s="204"/>
    </row>
    <row r="29" spans="1:6" ht="15">
      <c r="A29" s="200" t="s">
        <v>101</v>
      </c>
      <c r="B29" s="201" t="s">
        <v>201</v>
      </c>
      <c r="C29" s="202"/>
      <c r="D29" s="202"/>
      <c r="E29" s="203"/>
      <c r="F29" s="204"/>
    </row>
    <row r="30" spans="1:6" ht="15">
      <c r="A30" s="200" t="s">
        <v>102</v>
      </c>
      <c r="B30" s="201" t="s">
        <v>75</v>
      </c>
      <c r="C30" s="202"/>
      <c r="D30" s="202"/>
      <c r="E30" s="203"/>
      <c r="F30" s="204"/>
    </row>
    <row r="31" spans="1:6" ht="15">
      <c r="A31" s="200" t="s">
        <v>103</v>
      </c>
      <c r="B31" s="201" t="s">
        <v>72</v>
      </c>
      <c r="C31" s="202"/>
      <c r="D31" s="202"/>
      <c r="E31" s="205" t="s">
        <v>233</v>
      </c>
      <c r="F31" s="204"/>
    </row>
    <row r="32" spans="1:6" ht="15">
      <c r="A32" s="200" t="s">
        <v>202</v>
      </c>
      <c r="B32" s="201" t="s">
        <v>203</v>
      </c>
      <c r="C32" s="202"/>
      <c r="D32" s="202"/>
      <c r="E32" s="203"/>
      <c r="F32" s="20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PATRIZIO ASTOLFI</cp:lastModifiedBy>
  <cp:lastPrinted>2011-12-10T10:31:03Z</cp:lastPrinted>
  <dcterms:created xsi:type="dcterms:W3CDTF">2011-02-20T17:23:41Z</dcterms:created>
  <dcterms:modified xsi:type="dcterms:W3CDTF">2011-12-11T17:06:25Z</dcterms:modified>
  <cp:category/>
  <cp:version/>
  <cp:contentType/>
  <cp:contentStatus/>
</cp:coreProperties>
</file>